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hertem/Downloads/"/>
    </mc:Choice>
  </mc:AlternateContent>
  <xr:revisionPtr revIDLastSave="0" documentId="13_ncr:1_{04A1AAA7-818E-1D4C-87B6-D8D14236AAFD}" xr6:coauthVersionLast="47" xr6:coauthVersionMax="47" xr10:uidLastSave="{00000000-0000-0000-0000-000000000000}"/>
  <bookViews>
    <workbookView xWindow="28800" yWindow="0" windowWidth="38400" windowHeight="21600" xr2:uid="{73A549DA-19E8-4FE2-AF79-FA6138352C39}"/>
  </bookViews>
  <sheets>
    <sheet name="Anleitung" sheetId="16" r:id="rId1"/>
    <sheet name="Bewertungsbogen" sheetId="2" r:id="rId2"/>
    <sheet name="Auswertung" sheetId="11" r:id="rId3"/>
    <sheet name="Fragenkatalog" sheetId="1" r:id="rId4"/>
    <sheet name="Szenarien" sheetId="6" r:id="rId5"/>
    <sheet name="Handlungsempfehlungen" sheetId="7" r:id="rId6"/>
    <sheet name="LookupTabellen"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B19" i="2" l="1"/>
  <c r="C19" i="2"/>
  <c r="D19" i="2"/>
  <c r="E19" i="2"/>
  <c r="I19" i="2"/>
  <c r="J19" i="2"/>
  <c r="K19" i="2"/>
  <c r="L19" i="2"/>
  <c r="M19" i="2"/>
  <c r="N19" i="2"/>
  <c r="O19" i="2"/>
  <c r="P19" i="2"/>
  <c r="Q19" i="2"/>
  <c r="O51" i="2"/>
  <c r="N51" i="2"/>
  <c r="K51" i="2"/>
  <c r="J51" i="2"/>
  <c r="O50" i="2"/>
  <c r="N50" i="2"/>
  <c r="K50" i="2"/>
  <c r="J50" i="2"/>
  <c r="O49" i="2"/>
  <c r="N49" i="2"/>
  <c r="K49" i="2"/>
  <c r="J49" i="2"/>
  <c r="O48" i="2"/>
  <c r="N48" i="2"/>
  <c r="K48" i="2"/>
  <c r="J48" i="2"/>
  <c r="O47" i="2"/>
  <c r="N47" i="2"/>
  <c r="K47" i="2"/>
  <c r="J47" i="2"/>
  <c r="O46" i="2"/>
  <c r="N46" i="2"/>
  <c r="K46" i="2"/>
  <c r="J46" i="2"/>
  <c r="O41" i="2"/>
  <c r="N41" i="2"/>
  <c r="K41" i="2"/>
  <c r="J41" i="2"/>
  <c r="O40" i="2"/>
  <c r="N40" i="2"/>
  <c r="K40" i="2"/>
  <c r="J40" i="2"/>
  <c r="O39" i="2"/>
  <c r="N39" i="2"/>
  <c r="K39" i="2"/>
  <c r="J39" i="2"/>
  <c r="O38" i="2"/>
  <c r="N38" i="2"/>
  <c r="K38" i="2"/>
  <c r="J38" i="2"/>
  <c r="O37" i="2"/>
  <c r="N37" i="2"/>
  <c r="K37" i="2"/>
  <c r="J37" i="2"/>
  <c r="O36" i="2"/>
  <c r="N36" i="2"/>
  <c r="K36" i="2"/>
  <c r="J36" i="2"/>
  <c r="O31" i="2"/>
  <c r="N31" i="2"/>
  <c r="K31" i="2"/>
  <c r="J31" i="2"/>
  <c r="O30" i="2"/>
  <c r="N30" i="2"/>
  <c r="K30" i="2"/>
  <c r="J30" i="2"/>
  <c r="O29" i="2"/>
  <c r="N29" i="2"/>
  <c r="K29" i="2"/>
  <c r="J29" i="2"/>
  <c r="O28" i="2"/>
  <c r="N28" i="2"/>
  <c r="K28" i="2"/>
  <c r="J28" i="2"/>
  <c r="O27" i="2"/>
  <c r="N27" i="2"/>
  <c r="K27" i="2"/>
  <c r="J27" i="2"/>
  <c r="O26" i="2"/>
  <c r="N26" i="2"/>
  <c r="K26" i="2"/>
  <c r="J26" i="2"/>
  <c r="O25" i="2"/>
  <c r="N25" i="2"/>
  <c r="K25" i="2"/>
  <c r="J25" i="2"/>
  <c r="O20" i="2"/>
  <c r="N20" i="2"/>
  <c r="K20" i="2"/>
  <c r="J20" i="2"/>
  <c r="O18" i="2"/>
  <c r="N18" i="2"/>
  <c r="K18" i="2"/>
  <c r="J18" i="2"/>
  <c r="O17" i="2"/>
  <c r="N17" i="2"/>
  <c r="K17" i="2"/>
  <c r="J17" i="2"/>
  <c r="O16" i="2"/>
  <c r="N16" i="2"/>
  <c r="K16" i="2"/>
  <c r="J16" i="2"/>
  <c r="O15" i="2"/>
  <c r="N15" i="2"/>
  <c r="K15" i="2"/>
  <c r="J15" i="2"/>
  <c r="O14" i="2"/>
  <c r="N14" i="2"/>
  <c r="K14" i="2"/>
  <c r="J14" i="2" l="1"/>
  <c r="A43" i="1" l="1"/>
  <c r="A42" i="1"/>
  <c r="A44" i="1"/>
  <c r="A45" i="1"/>
  <c r="A46" i="1"/>
  <c r="A47" i="1"/>
  <c r="A48" i="1"/>
  <c r="A49" i="1"/>
  <c r="A50" i="1"/>
  <c r="A10" i="1"/>
  <c r="A3" i="1"/>
  <c r="A2" i="1"/>
  <c r="A6" i="1"/>
  <c r="A4" i="1"/>
  <c r="A5" i="1"/>
  <c r="A12" i="1"/>
  <c r="A13" i="1"/>
  <c r="A7" i="1"/>
  <c r="A8" i="1"/>
  <c r="A9" i="1"/>
  <c r="A11" i="1"/>
  <c r="A14" i="1"/>
  <c r="A15" i="1"/>
  <c r="A16" i="1"/>
  <c r="A17" i="1"/>
  <c r="A18" i="1"/>
  <c r="A22" i="1"/>
  <c r="A23" i="1"/>
  <c r="A21" i="1"/>
  <c r="A24" i="1"/>
  <c r="A25" i="1"/>
  <c r="A26" i="1"/>
  <c r="A27" i="1"/>
  <c r="A20" i="1"/>
  <c r="A19" i="1"/>
  <c r="A30" i="1"/>
  <c r="A38" i="1"/>
  <c r="A32" i="1"/>
  <c r="A33" i="1"/>
  <c r="A34" i="1"/>
  <c r="A35" i="1"/>
  <c r="A39" i="1"/>
  <c r="A36" i="1"/>
  <c r="A31" i="1"/>
  <c r="A40" i="1"/>
  <c r="A41" i="1"/>
  <c r="A37" i="1"/>
  <c r="A29" i="1"/>
  <c r="A28" i="1"/>
  <c r="M17" i="2" l="1"/>
  <c r="L16" i="2"/>
  <c r="E28" i="2"/>
  <c r="C30" i="2"/>
  <c r="C38" i="2"/>
  <c r="D41" i="2"/>
  <c r="C49" i="2"/>
  <c r="E38" i="2"/>
  <c r="D46" i="2"/>
  <c r="I25" i="2"/>
  <c r="C47" i="2"/>
  <c r="M18" i="2"/>
  <c r="L17" i="2"/>
  <c r="E29" i="2"/>
  <c r="C31" i="2"/>
  <c r="C39" i="2"/>
  <c r="E47" i="2"/>
  <c r="C50" i="2"/>
  <c r="E25" i="2"/>
  <c r="E20" i="2"/>
  <c r="C14" i="2"/>
  <c r="I15" i="2"/>
  <c r="E37" i="2"/>
  <c r="C40" i="2"/>
  <c r="C51" i="2"/>
  <c r="C15" i="2"/>
  <c r="E49" i="2"/>
  <c r="C26" i="2"/>
  <c r="E15" i="2"/>
  <c r="I20" i="2"/>
  <c r="C28" i="2"/>
  <c r="E17" i="2"/>
  <c r="M51" i="2"/>
  <c r="M50" i="2"/>
  <c r="M49" i="2"/>
  <c r="M48" i="2"/>
  <c r="M47" i="2"/>
  <c r="M46" i="2"/>
  <c r="M41" i="2"/>
  <c r="M40" i="2"/>
  <c r="M39" i="2"/>
  <c r="M38" i="2"/>
  <c r="M37" i="2"/>
  <c r="M36" i="2"/>
  <c r="M31" i="2"/>
  <c r="M30" i="2"/>
  <c r="M29" i="2"/>
  <c r="M28" i="2"/>
  <c r="M27" i="2"/>
  <c r="M26" i="2"/>
  <c r="M25" i="2"/>
  <c r="M20" i="2"/>
  <c r="L18" i="2"/>
  <c r="E30" i="2"/>
  <c r="E48" i="2"/>
  <c r="D25" i="2"/>
  <c r="C41" i="2"/>
  <c r="C16" i="2"/>
  <c r="D37" i="2"/>
  <c r="I26" i="2"/>
  <c r="M15" i="2"/>
  <c r="E41" i="2"/>
  <c r="L51" i="2"/>
  <c r="L50" i="2"/>
  <c r="L49" i="2"/>
  <c r="L48" i="2"/>
  <c r="L47" i="2"/>
  <c r="L46" i="2"/>
  <c r="L41" i="2"/>
  <c r="L40" i="2"/>
  <c r="L39" i="2"/>
  <c r="L38" i="2"/>
  <c r="L37" i="2"/>
  <c r="L36" i="2"/>
  <c r="L31" i="2"/>
  <c r="L30" i="2"/>
  <c r="L29" i="2"/>
  <c r="L28" i="2"/>
  <c r="L27" i="2"/>
  <c r="L26" i="2"/>
  <c r="L25" i="2"/>
  <c r="L20" i="2"/>
  <c r="I16" i="2"/>
  <c r="E46" i="2"/>
  <c r="E39" i="2"/>
  <c r="C17" i="2"/>
  <c r="P18" i="2"/>
  <c r="D39" i="2"/>
  <c r="I17" i="2"/>
  <c r="I18" i="2"/>
  <c r="M14" i="2"/>
  <c r="C27" i="2"/>
  <c r="E40" i="2"/>
  <c r="D38" i="2"/>
  <c r="E51" i="2"/>
  <c r="C46" i="2"/>
  <c r="E16" i="2"/>
  <c r="C18" i="2"/>
  <c r="I50" i="2"/>
  <c r="I49" i="2"/>
  <c r="I48" i="2"/>
  <c r="I47" i="2"/>
  <c r="I46" i="2"/>
  <c r="I41" i="2"/>
  <c r="I40" i="2"/>
  <c r="I39" i="2"/>
  <c r="I38" i="2"/>
  <c r="I37" i="2"/>
  <c r="I36" i="2"/>
  <c r="I31" i="2"/>
  <c r="I30" i="2"/>
  <c r="I29" i="2"/>
  <c r="I28" i="2"/>
  <c r="I51" i="2"/>
  <c r="M16" i="2"/>
  <c r="L15" i="2"/>
  <c r="E27" i="2"/>
  <c r="C29" i="2"/>
  <c r="C37" i="2"/>
  <c r="D40" i="2"/>
  <c r="C48" i="2"/>
  <c r="D36" i="2"/>
  <c r="E18" i="2"/>
  <c r="C20" i="2"/>
  <c r="C36" i="2"/>
  <c r="E14" i="2"/>
  <c r="E31" i="2"/>
  <c r="C25" i="2"/>
  <c r="E50" i="2"/>
  <c r="I27" i="2"/>
  <c r="E26" i="2"/>
  <c r="E36" i="2"/>
  <c r="P36" i="2"/>
  <c r="P48" i="2"/>
  <c r="P41" i="2"/>
  <c r="P51" i="2"/>
  <c r="P20" i="2"/>
  <c r="P25" i="2"/>
  <c r="P49" i="2"/>
  <c r="P30" i="2"/>
  <c r="P50" i="2"/>
  <c r="P47" i="2"/>
  <c r="P27" i="2"/>
  <c r="P26" i="2"/>
  <c r="P37" i="2"/>
  <c r="P46" i="2"/>
  <c r="P28" i="2"/>
  <c r="P29" i="2"/>
  <c r="P17" i="2"/>
  <c r="I14" i="2"/>
  <c r="F21" i="2" s="1"/>
  <c r="B14" i="2"/>
  <c r="P14" i="2"/>
  <c r="P38" i="2"/>
  <c r="P31" i="2"/>
  <c r="P16" i="2"/>
  <c r="P15" i="2"/>
  <c r="P39" i="2"/>
  <c r="P40" i="2"/>
  <c r="D49" i="11"/>
  <c r="C49" i="11"/>
  <c r="Q46" i="2"/>
  <c r="Q36" i="2"/>
  <c r="Q25" i="2"/>
  <c r="L14" i="2"/>
  <c r="F42" i="11" l="1"/>
  <c r="F3" i="11"/>
  <c r="F16" i="11"/>
  <c r="G32" i="2"/>
  <c r="D21" i="11" s="1"/>
  <c r="F29" i="11"/>
  <c r="G52" i="2"/>
  <c r="D23" i="11" s="1"/>
  <c r="G42" i="2"/>
  <c r="D22" i="11" s="1"/>
  <c r="G21" i="2"/>
  <c r="F52" i="2"/>
  <c r="I8" i="2" s="1"/>
  <c r="E52" i="2"/>
  <c r="E32" i="2"/>
  <c r="F32" i="2"/>
  <c r="I6" i="2" s="1"/>
  <c r="D45" i="11"/>
  <c r="D46" i="11"/>
  <c r="D47" i="11"/>
  <c r="D48" i="11"/>
  <c r="C46" i="11"/>
  <c r="C47" i="11"/>
  <c r="C48" i="11"/>
  <c r="C45" i="11"/>
  <c r="C23" i="11" l="1"/>
  <c r="C21" i="11"/>
  <c r="D20" i="11"/>
  <c r="D26" i="11" s="1"/>
  <c r="C42" i="11" l="1"/>
  <c r="Q14" i="2"/>
  <c r="U23" i="2"/>
  <c r="U34" i="2"/>
  <c r="U44" i="2"/>
  <c r="T23" i="2"/>
  <c r="J5" i="2"/>
  <c r="E21" i="2" l="1"/>
  <c r="I9" i="2" l="1"/>
  <c r="C24" i="11" s="1"/>
  <c r="B46" i="2"/>
  <c r="I5" i="2" l="1"/>
  <c r="D24" i="11"/>
  <c r="D36" i="11" s="1"/>
  <c r="C20" i="11"/>
  <c r="D14" i="2"/>
  <c r="D15" i="2"/>
  <c r="G1" i="11" l="1"/>
  <c r="O1" i="11" s="1"/>
  <c r="B1" i="11"/>
  <c r="M1" i="11" s="1"/>
  <c r="A3" i="11"/>
  <c r="B47" i="2"/>
  <c r="D47" i="2"/>
  <c r="Q47" i="2"/>
  <c r="B48" i="2"/>
  <c r="D48" i="2"/>
  <c r="Q48" i="2"/>
  <c r="B49" i="2"/>
  <c r="D49" i="2"/>
  <c r="Q49" i="2"/>
  <c r="B50" i="2"/>
  <c r="D50" i="2"/>
  <c r="Q50" i="2"/>
  <c r="B51" i="2"/>
  <c r="D51" i="2"/>
  <c r="Q51" i="2"/>
  <c r="B38" i="2"/>
  <c r="Q38" i="2"/>
  <c r="B39" i="2"/>
  <c r="Q39" i="2"/>
  <c r="B40" i="2"/>
  <c r="Q40" i="2"/>
  <c r="B41" i="2"/>
  <c r="Q41" i="2"/>
  <c r="B37" i="2"/>
  <c r="Q37" i="2"/>
  <c r="B36" i="2"/>
  <c r="B26" i="2"/>
  <c r="D26" i="2"/>
  <c r="Q26" i="2"/>
  <c r="B27" i="2"/>
  <c r="D27" i="2"/>
  <c r="Q27" i="2"/>
  <c r="B28" i="2"/>
  <c r="D28" i="2"/>
  <c r="Q28" i="2"/>
  <c r="B29" i="2"/>
  <c r="D29" i="2"/>
  <c r="Q29" i="2"/>
  <c r="B30" i="2"/>
  <c r="D30" i="2"/>
  <c r="Q30" i="2"/>
  <c r="B31" i="2"/>
  <c r="D31" i="2"/>
  <c r="Q31" i="2"/>
  <c r="B25" i="2"/>
  <c r="Q20" i="2"/>
  <c r="D20" i="2"/>
  <c r="B20" i="2"/>
  <c r="B15" i="2"/>
  <c r="Q15" i="2"/>
  <c r="B16" i="2"/>
  <c r="D16" i="2"/>
  <c r="Q16" i="2"/>
  <c r="B17" i="2"/>
  <c r="D17" i="2"/>
  <c r="Q17" i="2"/>
  <c r="B18" i="2"/>
  <c r="D18" i="2"/>
  <c r="Q18" i="2"/>
  <c r="A5" i="6"/>
  <c r="A6" i="6"/>
  <c r="A7" i="6"/>
  <c r="A8" i="6"/>
  <c r="A9" i="6"/>
  <c r="A10" i="6"/>
  <c r="A11" i="6"/>
  <c r="A12" i="6"/>
  <c r="A13" i="6"/>
  <c r="A14" i="6"/>
  <c r="A15" i="6"/>
  <c r="A16" i="6"/>
  <c r="A17" i="6"/>
  <c r="A18" i="6"/>
  <c r="A19" i="6"/>
  <c r="A4" i="6"/>
  <c r="E42" i="2" l="1"/>
  <c r="F42" i="2"/>
  <c r="I7" i="2" s="1"/>
  <c r="C22" i="11" l="1"/>
  <c r="K8" i="11" l="1"/>
  <c r="K13" i="11" s="1"/>
  <c r="K18" i="11" s="1"/>
  <c r="K23" i="11" s="1"/>
  <c r="K28" i="11" s="1"/>
  <c r="K33" i="11" s="1"/>
  <c r="K38" i="11" s="1"/>
  <c r="K43" i="11" s="1"/>
  <c r="K48" i="11" s="1"/>
  <c r="L3" i="11"/>
  <c r="K2" i="11"/>
  <c r="A33" i="11"/>
  <c r="A26" i="11"/>
  <c r="A36" i="11"/>
  <c r="L8" i="11" l="1"/>
  <c r="L23" i="11"/>
  <c r="M23" i="11"/>
  <c r="L28" i="11"/>
  <c r="M13" i="11"/>
  <c r="L13" i="11"/>
  <c r="M8" i="11"/>
  <c r="M18" i="11"/>
  <c r="L18" i="11"/>
  <c r="E11" i="11"/>
  <c r="E12" i="11" s="1"/>
  <c r="M28" i="11" l="1"/>
  <c r="L33" i="11"/>
  <c r="L38" i="11" l="1"/>
  <c r="M33" i="11"/>
  <c r="M43" i="11" l="1"/>
  <c r="M38" i="11"/>
  <c r="M48" i="11" l="1"/>
  <c r="L43" i="11"/>
  <c r="L48" i="11" l="1"/>
</calcChain>
</file>

<file path=xl/sharedStrings.xml><?xml version="1.0" encoding="utf-8"?>
<sst xmlns="http://schemas.openxmlformats.org/spreadsheetml/2006/main" count="835" uniqueCount="532">
  <si>
    <t>beide</t>
  </si>
  <si>
    <t>Handelt es sich bei der Software um eine neue, nicht offensichtliche Erfindung?</t>
  </si>
  <si>
    <t>Es handelt sich bei der Software um eine neue, nicht offensichtliche Erfindung.</t>
  </si>
  <si>
    <t>Die Einrichtung hat die gleichen Vorstellungen von der Verwertung wie das Projektteam</t>
  </si>
  <si>
    <t>Diese Frage zielt darauf ab, ob die Einrichtung die gleichen Erwartungen von der Verwertung hat wie das Projektteam. Will die Einrichtung zum Beispiel eine Software kommerziell verwerten, das Team diese aber lieber als Open Scource verwerten, entsteht dadurch ein Mehraufwand für die Vermittlung beider Seiten. Ausschlaggebend ist außerdem wie aufgeschlossen die Einrichtung/Lehrstuhl für Kompromisse ist.</t>
  </si>
  <si>
    <t>Die Vorstellungen passen nicht zusammen, die Einrichtung ist aber kompromissbereit.</t>
  </si>
  <si>
    <t>Nachfrage/Bedarf</t>
  </si>
  <si>
    <t>Es gibt noch keinen Bedarf, dieser wird sich aber in Zukunft entwickeln.</t>
  </si>
  <si>
    <t>Zustand der Software</t>
  </si>
  <si>
    <t>Ist die Software in Verwendung?</t>
  </si>
  <si>
    <t>Die Software wird verwendet.</t>
  </si>
  <si>
    <t>Motivation Einrichtung</t>
  </si>
  <si>
    <t>Passt eine Verwertung der Software zu der strategischen Ausrichtung und den Zielen der Einrichtung.</t>
  </si>
  <si>
    <t>Die Verwertung der Software passt zu der strategischen Ausrichtung und den Zielen der Einrichtung.</t>
  </si>
  <si>
    <t xml:space="preserve">Aus verschiedenen Gründen kann die Verwertung einer Software nicht zu einer Einrichtung passen oder diese kein Interesse an der Verwertung haben. Sie passt nicht ins bestehende Portfolio, schränkt zukünftige Forschungsaktivitäten ein (z.B. durch den Wegfall von Know-How), bedient einen Markt der nicht von der Einrichtung gewünscht ist (z.B. Militärsoftware) oder hat nichts mit der Ausrichtung der Einrichtung zu tun. </t>
  </si>
  <si>
    <t>Die Software passt nur bedingt zur Einrichtung und/oder es besteht ein Interesse an der Verwertung</t>
  </si>
  <si>
    <t>lang</t>
  </si>
  <si>
    <t>Ist der Markt ausreichend groß für eine Verwertung?</t>
  </si>
  <si>
    <t>Der Markt ist ausreichend groß für eine Verwertung.</t>
  </si>
  <si>
    <t>Der Markt ist ausreichend für die Software.</t>
  </si>
  <si>
    <t>Ist die Verwertung und/oder Entwicklung der Software machbar?</t>
  </si>
  <si>
    <t>Die Verwertung und/oder Entwicklung der Software ist machbar?</t>
  </si>
  <si>
    <t>Es besteht die Möglichkeit, dass die Entwicklung abgebrochen werden muss, das Risiko dafür ist aber gering.</t>
  </si>
  <si>
    <t>Entwicklerteam würde ein Start-Up unterstützung.</t>
  </si>
  <si>
    <t>Ressourcen Einrichtung</t>
  </si>
  <si>
    <t>Kann die Einrichtung für Verwertung und ggfs. Betrieb/Wartung/Support der Software weitere Ressourcen zur Verfügung stellen?</t>
  </si>
  <si>
    <t>Die Einrichtung kann/will nur einen Teil der notwendigen Ressourcen bereitstellen.</t>
  </si>
  <si>
    <t>Hat der Markt ein Wachstumspotential?</t>
  </si>
  <si>
    <t>Der Markt zeigt wachsende Tendenz.</t>
  </si>
  <si>
    <t>Der Markt ist gleichbleibend.</t>
  </si>
  <si>
    <t>Kann die Software ohne spezielle Zulassungen verwertet werden?</t>
  </si>
  <si>
    <t xml:space="preserve">Die Software kann ohne spezielle Zulassungen verwertet werden. </t>
  </si>
  <si>
    <t>Software benötigt keine Zulassungen, muss aber gewissen Standards erfüllen.</t>
  </si>
  <si>
    <t>Autorenschaft</t>
  </si>
  <si>
    <t>Sind alle Fragen der Autorenschaft geklärt?</t>
  </si>
  <si>
    <t>Alle Frage der Autorenschaft sind geklärt.</t>
  </si>
  <si>
    <t>Offene Punkte lassen sich klären.</t>
  </si>
  <si>
    <t>Liegen alle Nutzungs- und Verwertungsrechte bei der Einrichtung?</t>
  </si>
  <si>
    <t>Alle Nutzungs- und Verwertungsrechte liegen bei der Einrichtung.</t>
  </si>
  <si>
    <t xml:space="preserve">Für eine Verwertung durch die Einrichtung ist es notwendig, dass alle Rechte bei der Einrichtung liegen. Ist dies nicht der Fall, oder noch unklar, so müssen diese wenn möglich erworben werden. </t>
  </si>
  <si>
    <t>Rechte können noch erworben werden, oder müssen noch geklärt werden.</t>
  </si>
  <si>
    <t>Gibt es Abnehmer*innen für die Software</t>
  </si>
  <si>
    <t>Es gibt Abnehmer für die Software.</t>
  </si>
  <si>
    <t>Es gibt Interessenten.</t>
  </si>
  <si>
    <t>Ist die Autorenschaft gut dokumentiert?</t>
  </si>
  <si>
    <t>Die Autorenschaft ist gut dokumentiert.</t>
  </si>
  <si>
    <t>Autorenschaft geht aus schriftlicher Kommunikation hervor.</t>
  </si>
  <si>
    <t>Abhängigkeiten</t>
  </si>
  <si>
    <t>Ist eine Verwertung trotz bestehender Rahmenverträge (Auftragsforschung, FuE Projekt, Kooperationsverträgen) möglich?</t>
  </si>
  <si>
    <t>Eine Verwertung ist trotz bestehender Rahmenverträge (Auftragsforschung, FuE Projekt, Kooperationsverträgen) möglich.</t>
  </si>
  <si>
    <t>Eine Entwicklung von Software kann durch bestehende Verträge oder Kooperationen geregelt sein. Diese können eine Verwertung erlauben oder ausschließen. Wenn solche Verträge existieren, können diese eine Verwerung erlauben oder ausschließen. In zweiterem Fall ist muss im Anschluss geprüft werden, was an Verwertung möglich ist.</t>
  </si>
  <si>
    <t>Verwertungmodalitäten sind noch nicht mit Kooperationspartnern, Geldgebern, o.Ä geklärt.</t>
  </si>
  <si>
    <t>Gibt es bereits ein Vertriebsnetz für die Software</t>
  </si>
  <si>
    <t xml:space="preserve">Das Vertriebsnetz ist vorhanden und zugänglich </t>
  </si>
  <si>
    <t>Vertriebsnetze befinden sich im Aufbau.</t>
  </si>
  <si>
    <t>Verfügbarkeit externer Ressourcen</t>
  </si>
  <si>
    <t>Sind alle externen Ressourcen vorhanden?</t>
  </si>
  <si>
    <t>Alle externen Ressourcen sind vorhanden.</t>
  </si>
  <si>
    <t>Bestehende Probleme können geklärt werden.</t>
  </si>
  <si>
    <t>Verfügt das Entwicklerteam über ausreichende Kapazitäten für die weitere Verwertung?</t>
  </si>
  <si>
    <t>Das Entwicklerteam verfügt über ausreichende Kapazitäten für die weitere Verwertung?</t>
  </si>
  <si>
    <t>Es fehlt entweder Geld oder Zeit.</t>
  </si>
  <si>
    <t>Zukünftige Forschungsaktivitäten</t>
  </si>
  <si>
    <t>Ist eine Verwertung mit zukünftigen Forschungsaktivitäten vereinbar?</t>
  </si>
  <si>
    <t>Eine Verwertung ist mit zukünftigen Forschungsaktivitäten vereinbar?</t>
  </si>
  <si>
    <t>Je nachdem in welcher Form die Verwertung geplant ist, kann dadurch zukünftige Forschungsaktivitäten der Einrichtung behindert werden. Das kann zum Beispiel eintreten wenn Know-How nach der Verwertung nur noch bei externen Kooperationspartnern liegt.</t>
  </si>
  <si>
    <t>Verwertung ist vereinbar, birgt aber auch zukünftige Risiken</t>
  </si>
  <si>
    <t>Handelt es sich bei der Software um eine Kern- oder Plattformtechnologie, auf der weitere Software/Produkte aufgebaut werden können.</t>
  </si>
  <si>
    <t>Bei der Technologie handelt es sich um eine Kern- oder Plattformtechnologie die von anderen für weitere, darauf aufbauende Produkte genutzt werden kann.</t>
  </si>
  <si>
    <t>Sind die Rechte für die Nutzung der externen Ressourcen geklärt?</t>
  </si>
  <si>
    <t xml:space="preserve">Alle vorhandenen externe Ressourcen können rechtlich wie erwünscht genutzt werden. </t>
  </si>
  <si>
    <t>Verfügt das Entwicklerteam über die notwendigen Kompetenzen?</t>
  </si>
  <si>
    <t>Das Entwicklerteam verfügt über die notwendigen Kompetenzen.</t>
  </si>
  <si>
    <t>Wichtige Kompetenzen könne sich zum einen auf die Entwicklung der Software beziehen (z.B. fehlende Kenntnisse in bestimmten Programmiersprachen oder auf dem zugrundeliegenden wissenschaftlichen Feld), als auch auf die Verwertung (Fehlendes Know-How über Rechte, Markt, etc.)</t>
  </si>
  <si>
    <t>Fehlende Kompetenzen können erworben werden.</t>
  </si>
  <si>
    <t>Das Know-How ist längerfristig an der Einrichtung gesichert.</t>
  </si>
  <si>
    <t>Gibt es keine vergleichbaren Produkte auf dem Markt?</t>
  </si>
  <si>
    <t>Es gibt keinen vergleichbaren Produke auf dem Markt.</t>
  </si>
  <si>
    <t>Vergleichbare Produkte befinden sich in der Entwicklung.</t>
  </si>
  <si>
    <t>Ist das Entwicklerteam gut in die Community und Industrie eingebunden?</t>
  </si>
  <si>
    <t>Das Entwicklerteam ist gut in der Community und Industrie eingebunden.</t>
  </si>
  <si>
    <t xml:space="preserve">Annerkennung/Etablierung im relevanten Gebiet, Unterstützung und Kontakte zu Industrie, ggfs Vertriebsnetze (direkte Kontakte aus dem Bereich der Entwicklerschaft/Lehrstuhlinhaber, etc.) </t>
  </si>
  <si>
    <t>Entwicklerteam ist in der Forschungscommunity oder Industrie gut integriert.</t>
  </si>
  <si>
    <t>Ein Abbruch der Entwicklung und Verwertung wäre für die Einrichtung tragbar.</t>
  </si>
  <si>
    <t>Abbruch könnte kompensiert werden.</t>
  </si>
  <si>
    <t>Bietet die Software identifizierbare und quantifizierbare Vorteile für Kunden?</t>
  </si>
  <si>
    <t>Die Software bietet identifizierbare und quantifizierbare Vorteile für Kunden?</t>
  </si>
  <si>
    <t>Die Software bietet kleinere Vorteile für die Nutzer.</t>
  </si>
  <si>
    <t>Kann die Software für Umwelt, Mensch und/oder Gesellschaft unbedenklich verwendet werden?</t>
  </si>
  <si>
    <t>Ist die Software durch Aufwand nicht replizierbar?</t>
  </si>
  <si>
    <t>Die Software ist durch Aufwand nicht replizierbar</t>
  </si>
  <si>
    <t>Um eine vergleichbare Software zu erstellen, wie große wäre der Aufwand dafür. Aufwand kann sich dabei sowohl auf die benötigten Ressourcen (Zeit, Geld, spezielle Technologien, Daten) beziehen als auch auf Know-How (Entwicklung, Forschung).</t>
  </si>
  <si>
    <t>Die Software ist durch großen Aufwand replizierbar.</t>
  </si>
  <si>
    <t>Handelt es sich um eine noch nicht lizensierte Software?</t>
  </si>
  <si>
    <t>Die Software wurde noch nicht lizenziert.</t>
  </si>
  <si>
    <t>Wenn eine Software bereits lizensiert wurde , z.B. als OpenSource Anwendung können sich dadurch Probleme für eine weitere Verwertung ergeben.</t>
  </si>
  <si>
    <t>Nein, Software wurde bereits lizensiert.</t>
  </si>
  <si>
    <t>Lizenzierung befindet sich im Abstimmungsprozess.</t>
  </si>
  <si>
    <t>Kann die Software schnell auf den Markt gebracht werden?</t>
  </si>
  <si>
    <t>Es wird nicht lange dauern bis die Software auf dem Markt ist.</t>
  </si>
  <si>
    <t>Ist die Software ausreichend dokumentiert?</t>
  </si>
  <si>
    <t>Kann die Software als Dienstleistung oder ähnliches verwertet werden?</t>
  </si>
  <si>
    <t>Die Software kann als Dienstleistung oder ähnliches verwertet werden.</t>
  </si>
  <si>
    <t>Kann der Markt durch die Implementierung der Software auf andere Systeme/ für Beratung/ als SaaS/etc. erweitert werden.</t>
  </si>
  <si>
    <t>Die Software bedient einen weiteren Teilbereich.</t>
  </si>
  <si>
    <t>Kann mit der Verwertung der Software Gewinn erzielt werden?</t>
  </si>
  <si>
    <t>Mit der Verwertung der Software kann ein Gewinn erzielt werden.</t>
  </si>
  <si>
    <t>Gewinn = positiver "Return of Investment"</t>
  </si>
  <si>
    <t>Verwertung wäre kostenneutral.</t>
  </si>
  <si>
    <t>Bezeichnung</t>
  </si>
  <si>
    <t>Dimension</t>
  </si>
  <si>
    <t>Fragebogen</t>
  </si>
  <si>
    <t>ID</t>
  </si>
  <si>
    <t>Frage</t>
  </si>
  <si>
    <t>Satz</t>
  </si>
  <si>
    <t>Beschreibung</t>
  </si>
  <si>
    <t>Team</t>
  </si>
  <si>
    <t>SOFTWARE</t>
  </si>
  <si>
    <t>Dimensionen</t>
  </si>
  <si>
    <t>Software</t>
  </si>
  <si>
    <t>Einrichtung</t>
  </si>
  <si>
    <t>Markt</t>
  </si>
  <si>
    <t>Gewichtete Wertung</t>
  </si>
  <si>
    <t> Bezeichnung</t>
  </si>
  <si>
    <t>Beispielszenario</t>
  </si>
  <si>
    <t>Handlungsempfehlung</t>
  </si>
  <si>
    <t>Superstar</t>
  </si>
  <si>
    <t>Im Durchschnitt sind alle notwendigen Dimensionen positiv bewertet</t>
  </si>
  <si>
    <t>Verwertung starten</t>
  </si>
  <si>
    <t>Kein oder unatraktiver Markt, kein Interesse außerhalb der Einrichtung an der Software</t>
  </si>
  <si>
    <t>Einrichtung kann (fehlende Ressourcen, Rechte) oder will Software nicht verwerten</t>
  </si>
  <si>
    <t>Einrichtung ist nicht von der Software überzeugt, da es auch nur einen kleinen Markt gibt</t>
  </si>
  <si>
    <t>Team fehlt es an Motivation, Kompetenz und/oder Ressourcen</t>
  </si>
  <si>
    <t>Einrichtung möchte vielversprechende Software gegen den Willen verwerten, es fehlt aber ein Markt</t>
  </si>
  <si>
    <t>Software ist technisch so gut, das es gute Chancen auf dem Markt hat</t>
  </si>
  <si>
    <t>Veraltete Technologie oder Technologie ohne Marktperspektive</t>
  </si>
  <si>
    <t>Förderliche Rahmenbedingungen erlauben die Investition in die Weiterentwicklung der Software</t>
  </si>
  <si>
    <t>Software findet in der Form keinen Markt</t>
  </si>
  <si>
    <t>Team hat einen Markt aufgetan, die Software ist aber noch nicht für die Verwertung geeignet und muss Einrichtung überzeugen</t>
  </si>
  <si>
    <t>transferinteressierte Wissenschaftler*in ohne konkretes Projekt</t>
  </si>
  <si>
    <t>Team kann die fachliche Umsetzung von Ideen mit großem Potential nicht stemmen </t>
  </si>
  <si>
    <t>Einrichtung will Thema ohne Potential puschen</t>
  </si>
  <si>
    <t>Markt in Grenzbereichen der eigenen Forschung identifiziert</t>
  </si>
  <si>
    <t>Kritische Zone</t>
  </si>
  <si>
    <t>Bewertung leider in allen Dimensionen negativ</t>
  </si>
  <si>
    <t>Projekt fallen lassen</t>
  </si>
  <si>
    <t>Case ID</t>
  </si>
  <si>
    <t xml:space="preserve">Institution </t>
  </si>
  <si>
    <t>Kurze Beschreibung</t>
  </si>
  <si>
    <t>Empfehlung</t>
  </si>
  <si>
    <t>Marktanalyse</t>
  </si>
  <si>
    <t>Analysieren, für welche Märkte die Technologie noch interessant sein könnte oder wie die Technologie an die Bedürfnisse des Marktes angepasst werden könnte.</t>
  </si>
  <si>
    <t>Analyse der Software</t>
  </si>
  <si>
    <t>Weiterentwicklung zur Marktreife</t>
  </si>
  <si>
    <t>Software zu einem Produkt weiterentwickeln, welches den anvisierten Markt bedienen kann.</t>
  </si>
  <si>
    <t>Minimal Effort-Verwertung</t>
  </si>
  <si>
    <t>Analyse der Interessen und Ressourcen der Einrichtung</t>
  </si>
  <si>
    <t>Einrichtung startklar machen</t>
  </si>
  <si>
    <t>Einrichtung überzeugen mehr Ressourcen für das Projekt bereitzustellen und/oder diese bei Bedarf aus externen Quellen zu beschaffen. Das kann auch beinhalten die Einrichtung davon zu überzeugen die Software an motivierte externe Personen/Einrichtungen zu geben (Outsourcen, Ausgründung)</t>
  </si>
  <si>
    <t>Unabhängiges Projekt</t>
  </si>
  <si>
    <t>Wenn das Projekt keine Zukunft in der Einrichtung hat, dieses entweder als Ausgründung fortführen oder komplet zu verkaufen. Die Einrichtung muss dafür ggfs. überzeugt werden. Dies würde auch das Risiko der Verwertung von der Einrichtung auf das neue Team verschieben.</t>
  </si>
  <si>
    <t>Analyse des Teams</t>
  </si>
  <si>
    <t>Analysieren, oran es dem aktuellen Entwicklerteam mangelt und was für eine erfolgreiche Verwertung fehlt. So sollten zum Beispiel die Kapazitäten, Kompetenzen und Motivationen des Teams ermittelt werden um weitere Entscheidungen zu treffen.</t>
  </si>
  <si>
    <t>Team befähigen</t>
  </si>
  <si>
    <t>externes Team suchen</t>
  </si>
  <si>
    <t>Archivieren</t>
  </si>
  <si>
    <t>Software bietet aktuell kein Potential für die Verwertung und sollte daher gründlich archiviert werden um wieder hervorgeholt zu werden wenn der Markt für die Software besser ist.</t>
  </si>
  <si>
    <t>Forschungsförderung</t>
  </si>
  <si>
    <t>Aktive steigerung der Nachfrage nach der Software, beispielsweise durch:
- Erschließen neuer Märkte
- Aquise neuer Abnehmer (z.B. Inkubatoren, Pilotkunden, Alumi die mit der Software gearbeitet haben)
Durch die Marktentwicklung kann es zu Verschiebungen in anderen Dimensionen kommen.</t>
  </si>
  <si>
    <t>Identifizieren von Anpassungen an der Software welche das Potential für eine Verwertung steigern können. Dazu können besipielsweise folgende Schritte durchgeführt werden:
- Qualitätsprüfung der Software und der Dokumentation des Codes
- Klärung der rechtlichen Situation (Abhängigkeiten von z.B. Copyleft)
- Risikoanalyse der Software</t>
  </si>
  <si>
    <t xml:space="preserve">Es kann sinnvoll für die Einrichtung sein, durch die Verwertung der Software einen Forschungsbereich zu fördern obwohl es dafür noch keinen Markt gibt. </t>
  </si>
  <si>
    <t>Verwertung starten(1)</t>
  </si>
  <si>
    <t>Analyse der Interessen und Ressourcen der Einrichtung(7) --&gt; Einrichtung startklar machen(8) oder Unabhängies Projekt(9) --&gt; ggfs. Verwertung starten(1)</t>
  </si>
  <si>
    <t>Marktanalyse(2) vom Team um Einrichtung startklar machen(8) oder Unabhängiges Projekt(9) initiieren</t>
  </si>
  <si>
    <t>Analyse des Team(10)--&gt; entweder Team befähigen(11) oder externes Team suchen(12) --&gt; Verwertung starten(1)</t>
  </si>
  <si>
    <t>Archivieren(13) --&gt; Marktanalyse(2) ansonsten Minimal Effort Verwertung(6)</t>
  </si>
  <si>
    <t>Marktanalyse(2) mit dem Ziel Weiterentwicklung zur Marktreife(5) oder Forschungsförderung(14); ansonsten Minimal Effort Verwertung(6)</t>
  </si>
  <si>
    <t>Einrichtung startklar machen(8) für Analyse der Software(4) und Weiterentwicklung zur Marktreife(5) oder Unabhängiges Projekt(9)</t>
  </si>
  <si>
    <t>Die Bewertung ein letztes mal prüfen ob die Software wirklich so viele Defizite hinsichtlich einer Verwertung hat. Wenn alles stimmt sollte die Software fallen gelassen werden.</t>
  </si>
  <si>
    <t>Team befähigen(11) eigenständige Marktanalyse(2) durchzuführen --&gt; Einrichtung startklar machen(8) für ein neues Projekt zu starten(16)</t>
  </si>
  <si>
    <t>Analyse des Team(10)--&gt; entweder Team befähigen(11) oder externes Team suchen(12), welches die Weiterentwicklung zur Marktreife(5) vorantreiben kann</t>
  </si>
  <si>
    <t xml:space="preserve">Einrichtung sollte entweder Team befähigen(11) oder externes Team suchen(12) für ein neues Projekt zu starten(16); maximal Forschungsförderung(10) </t>
  </si>
  <si>
    <t>Analyse der Interessen und Ressourcen der Einrichtung(7) --&gt; Einrichtung startklar machen(8)  --&gt; Team befähigen(11) oder externes Team suchen(12) für ein neues Projekt zu starten(16); alternativ: Forschungsförderung(10) oderMinimal Effort Verwertung(6)</t>
  </si>
  <si>
    <t>Projekt fallen lassen (15)</t>
  </si>
  <si>
    <t>Software ohne großen Aufwand veröffentlichen so wie sie akuell ist, z.B. indem sie als Open-Source Software auf ein repository gestellt wird oder sie im aktuellen Zustand verkauft wird. Vielleicht können dadurch mögliche Interessenten auf die Software aufmerksam werden.</t>
  </si>
  <si>
    <t>neues Projekt starten</t>
  </si>
  <si>
    <t>Es gibt noch zu wenig für eine Verwertung, daher müsste in der Einrichtung ersteinmal ein Projekt zur Entwicklung der Software gestartet werden bis das TTO in Aktion treten kann.</t>
  </si>
  <si>
    <t>kurz</t>
  </si>
  <si>
    <t>Können alle externen Ressourcen wie gewünscht verwendet werden?</t>
  </si>
  <si>
    <t>Notwendige externen Ressourcen sind vorhanden und können rechtlich wie gewünscht verwendet werden.</t>
  </si>
  <si>
    <t>Zuversicht der Bewertung</t>
  </si>
  <si>
    <t>unsicher</t>
  </si>
  <si>
    <t>Zuversicht</t>
  </si>
  <si>
    <t>Wertung</t>
  </si>
  <si>
    <t>Wert</t>
  </si>
  <si>
    <t>Bewertung</t>
  </si>
  <si>
    <t>Antwort</t>
  </si>
  <si>
    <t>nein</t>
  </si>
  <si>
    <t>ja</t>
  </si>
  <si>
    <t>dazwischen</t>
  </si>
  <si>
    <t>Gewichtung</t>
  </si>
  <si>
    <t>Institution</t>
  </si>
  <si>
    <t>Defizite beim Team beheben und dieses für die Verwertung vorbereiten. Das kann zum Beispiel passieren durch:
- Schulungen,mehr Ressourcen bereitstellen, Anreize schaffen, Matching mit (transfer-)interessierten Wissenschaftlern, Matching mit bestehend, archivierten Technologien–</t>
  </si>
  <si>
    <t>Wenn das aktuelle Team nicht für die Verwertung bereitsteht sollte ein externes Team gesucht werden.</t>
  </si>
  <si>
    <t>Die nächsten Schritte der Verwertung können und sollten gestartet werden. Dazu gehören unteranderem: offene Fragen/Probleme klären, Roadmap für Projekt erstellen, Finanzierung sicherstellen, Ressourcenplanung,  Verwertungsweg wählen (siehe Entscheidungshilfen), Abbruchkriterien definieren (wann muss die Verwertung als gescheitert angesehen werden)</t>
  </si>
  <si>
    <t>Neue Funktionen für bestehende Software.</t>
  </si>
  <si>
    <t>Es existiert bereits ein Prototyp (TRL 4 - 6).</t>
  </si>
  <si>
    <t>Für die Verwertung einer Software kann es sein, dass bestimmte Zulassungen, Standards oder Anforderungen erfüllt werden müssen. Das können zum Beispiel die Zulassung zum Medizinprodukt, Datenschutzverordnung oder Industriestandards sein.</t>
  </si>
  <si>
    <t>Gefragt ist, ob die Software bereits verwendet wird und falls ja, in welchem Maß. Für die Einteilung kann sich am Technology Readiness-Level (TRL) orientiert werden. Ist die Software bereits im Einsatz, sei es auch nur in einer Testumgebung (ab TRL 7), kann die Frage mit "Ja" beantwortet werden. Handelt es sich maximal nur um einen Prototypen (TRL 4 - 6), kann die mittlere Antwort gewählt werden. Wenn bis jetzt jedoch maximal ein Proof of Concept (bis TRL 3) besteht, sollte die Frage verneint werden.</t>
  </si>
  <si>
    <t>Benötigt eine Software für die Ausführung externe Assets (z.B. Module, Libraries, Assets, etc.) ist es wichtig, dass diese zum einen schon vorhanden sind und zum anderen auch im Falle einer Verwertung genutzt werden können. Daher wird hier abgefragt, ob alle Assets schon beschafft wurden und die Rechte (z.B. Nutzungsrechte) und Abhängigkeiten (z.B. Copyleft) für die weitere Verwendung geklärt wurden.</t>
  </si>
  <si>
    <r>
      <t>Hier geht es</t>
    </r>
    <r>
      <rPr>
        <sz val="11"/>
        <color theme="1"/>
        <rFont val="Calibri"/>
        <family val="2"/>
        <scheme val="minor"/>
      </rPr>
      <t xml:space="preserve"> darum, ob bereits alle externen Ressourcen (z.B. Module, Libraries, Daten, Assets, etc.) vorhanden sind oder bestehende Probleme bei der Beschaffung ausgeräumt werden können. Fragen zu Rechten und Abhängigkeiten der Ressourcen werden in den weiteren Fragen behandelt.</t>
    </r>
  </si>
  <si>
    <t xml:space="preserve">Um eine Software zu verwerten, sollte diese zum einen soweit fertiggestellt sein, um einen entsprechenden Verwertungsprozess durchlaufen zu können. Dabei können verschiedene Risiken auftreten, welche dafür sorgen können, dass es zu einem Abbruch der Entwicklung und Verwertung kommen kann. Hier soll daher abgeschätzt werden, wie wahrscheinlich es ist, dass die Software in ein fertiges Produkt weiterentwickelt werden kann. </t>
  </si>
  <si>
    <r>
      <t xml:space="preserve">Für die Verwertung von Software mit externen Ressourcen (z.B. Module, Libraries, Daten, Assets, etc.) müssen ggfs. verschiedene rechtliche Fragen geklärt werden (z.B. Abhängigkeiten wie Copyleft, Nutzungsrechte, etc.), weshalb </t>
    </r>
    <r>
      <rPr>
        <sz val="11"/>
        <color theme="1"/>
        <rFont val="Calibri"/>
        <family val="2"/>
        <scheme val="minor"/>
      </rPr>
      <t>hier eingeschätzt werden soll, ob es bei der vorliegenden Software Probleme geben könnte.</t>
    </r>
  </si>
  <si>
    <r>
      <rPr>
        <sz val="11"/>
        <color theme="1"/>
        <rFont val="Calibri"/>
        <family val="2"/>
        <scheme val="minor"/>
      </rPr>
      <t>Kein Wissen über Veröffentlichungen.</t>
    </r>
  </si>
  <si>
    <r>
      <rPr>
        <sz val="11"/>
        <color theme="1"/>
        <rFont val="Calibri"/>
        <family val="2"/>
        <scheme val="minor"/>
      </rPr>
      <t xml:space="preserve">Wird angestrebt die Software in ihrer Umsetzung zu patentiert , so könnten bestehende Veröffentlichungen zu der Software, dies verhindern. Als Veröffentlichungen zählen zum Beispiel Poster oder Präsentationen. </t>
    </r>
  </si>
  <si>
    <t xml:space="preserve">Gibt es keine Veröffentlichungen zu der Software die einer Patentierung in Form eines (Software)-Patents entgegenstehen würden? </t>
  </si>
  <si>
    <t>Es existieren keine Veröffentlichungen oder Patente, die der Bestrebung eines (Software)-Patentes entgegenstehen.</t>
  </si>
  <si>
    <t>Die Software ist für die Umwelt, den Menschen oder der Gesellschaft sicher.</t>
  </si>
  <si>
    <t>DIe Software kann nach einer Veröffentlichung und Verwendung durchaus schädliche Auswirkungen für die Menschen, die Gesellschaft oder die Umwelt haben. Daher kann es gewünscht sein, diese nicht zu veröffentlichen. Dabei muss unterschieden werden, dass im Grunde jede Software missbraucht werden kann, aber nicht zwangsläufig als besonders gefährdent einzustufen ist. Vielmehr zielt die Frage zum Beispiel auf Software ab, die zur Steuerung von (u.a) Waffensystemen, zur Auswertung von Satellitenbildern, zur Sammlung und Auswertung von Personenbezogenen Daten, etc. abziehlt.</t>
  </si>
  <si>
    <t>Die Software kann zu gefährlichen Zwecken missbraucht werden.</t>
  </si>
  <si>
    <t>Die Software ist ausreichend dokumentiert.</t>
  </si>
  <si>
    <t>Die Dokumentation ist nicht hinreichend.</t>
  </si>
  <si>
    <t>Die ordentliche Dokumentation einer Software hinsichtlich des Quellcodes ist essenziell dafür, dass man auch in Zukunft diese noch warten und weiterentwickeln kann. Für die funktionelle Dokumentation kann es einrichtungsspezifische als auch allgemeine Standards (z.B. CleanCode) geben. (Hier wird nicht der Beitrag der Entwickler*inen - Wer hat was und wieviel beigetragen? - abgefragt).</t>
  </si>
  <si>
    <t>Zeigt das Entwicklerteam Kompromissbereitschaft und hat realistische Erwartungen im Bezug auf eine angestrebte Verwertung?</t>
  </si>
  <si>
    <t>Das Entwicklerteam zeigt Kompromissenbereitschaft und hat realistische Erwartungen im Bezug auf eine angestrebe Verwertung.</t>
  </si>
  <si>
    <t>Das Entwicklerteam hat gegensätzliche oder unrealistische Erwartungen, ist aber kompromissbereit.</t>
  </si>
  <si>
    <t>Die Erwartungen, die Entwickler an die Verwertung einer Software haben, können sehr stark variieren. Sie können zum einen auf eine reine Open Source-Verwertung bestehen oder zum anderen erwarten mit der Software einen großen Gewinn zu erzielen. Daher muss bei der Bewertung abgeschätzt werden, ob die Erwartungen realistisch sind bzw. zu Problemen führen können und wie die groß die Kompromissbereitschaft im Entwicklerteam ist.</t>
  </si>
  <si>
    <t>Ist das Entwicklerteam bereit, stark bei der Verwertung zu unterstützen?</t>
  </si>
  <si>
    <t>Das Entwicklerteam ist bereit, stark bei der Verwertung zu unterstützen.</t>
  </si>
  <si>
    <t>Das Entwicklerteam will Software noch fertigstellen aber nicht verwerten</t>
  </si>
  <si>
    <t>Wie weit sind die Entwickler*inen bereit bei der Verwertung mitzuarbeiten. Je nach Entwicklungsstand kann das schon bei der Fertigstellung der Software (idealerweise bis hin zum fertigen Produkt) beinhalten. Ansonsten wird hier die Mitarbeit bei der Verwertung selbst (z.B. auch in Form eines Start-Ups), oder für weiterreichende Aufgaben wie Wartung, Support, Beratung, etc. abgefragt.</t>
  </si>
  <si>
    <t>Das Entwicklerteam oder einzelne Personen aus dem Team  sind daran interessiert, die Softwarelösung in einem  Start-Up fortzuführen?</t>
  </si>
  <si>
    <t>Sind das Entwicklerteam oder einzelne Personen aus dem Team daran interessiert, die Softwarelösung in einem Start-Up fortzuführen?</t>
  </si>
  <si>
    <t>Wenn für die Anwendung eine Ausgründung sinnvoll erscheint, wie motiviert sind die Entwickler dabei entweder zu unterstützen oder gar selbst in eine Ausgründung (Start-Up) zu gehen .</t>
  </si>
  <si>
    <t>Zu den Fragen der Autorenschaft zählen beispielweise: Wer sind die involvierte Entwickler? Wie groß sind die einzelnen Beiträge? Wurde die Vergütung geregelt, etc.</t>
  </si>
  <si>
    <t>Geht aus der Dokumentation hervor, wer an der Entwicklung beteiligt war/ist und wie groß der jeweilige Anteil/Beitrag zur Software war/ist? Hierbei ist auch die Form der Dokumentation entscheidend. Existieren lediglich mündliche Absprachen, so ist das nicht als"gut" zu bewerten. Besser wäre es, wenn zumindestens aus  schrifftlicher Kommunikation hervorgeht, wer was gemacht hat. Eine gute Dokumentation kann zum Beispiel in Form von Repository vorliegen.</t>
  </si>
  <si>
    <t>Kapazitäten sind sowohl Zeit und auch Geld, die dem Team für die Entwicklung und Verwertung zur Verfügung stehen.</t>
  </si>
  <si>
    <t>Passen die Vorstellung von der Einrichtung, was die Verwertung angeht, zu denen des Teams?</t>
  </si>
  <si>
    <t>Die Einrichtung kann für Verwertung und ggfs. Betrieb/Wartung/Support der Software weitere Ressourcen zur Verfügung stellen.</t>
  </si>
  <si>
    <t>Will die Einrichtung, zusätzlich zu den bereits bereitgestellten Ressourcen für das Team, weitere Ressourcen für eine Verwertung der Software freigeben? Das können sowohl finanzielle, materielle oder personelle Ressourcen sein sowie Unterstützung durch andere Abteilungen (z.B. Communication) bei der Verwertung. Je nach Art der Verwertung (z.B. SaaS) kann es auch notwendig sein, für den Betrieb der Software Ressourcen bereitstellen zu müssen.</t>
  </si>
  <si>
    <t>Ist davon auszugehen, dass das Know-How an der Einrichtung längerfristig gesichert ist?</t>
  </si>
  <si>
    <t>Das Know-How ist nur mittelfristig gesichert</t>
  </si>
  <si>
    <t>Know-How kann zum Beispiel durch Weggang eines Mitarbeiters wegfallen, oder durch die Notwendigkeit als Einrichtung eine Lizenz zu, Beratungs- oder andere Serviceleistungen annehmen zu müssen. Unter Langfristig kann man z.B. zwischen 3-5 Jahre verstehen.</t>
  </si>
  <si>
    <t>Wäre ein Abbruch der Entwicklung und Verwertung für die Einrichtung  tragbar?</t>
  </si>
  <si>
    <t xml:space="preserve">Wird keine Verwertung gestartet oder muss diese abgebrochen werden kann dies negative Auswirkungen für die Einrichtung haben. Dies kann beispielsweise den Verlust von Ansehen bis hin zu finanziellen Verlusten reichen.  </t>
  </si>
  <si>
    <r>
      <t xml:space="preserve">Gibt es für die Software einen belastbaren und ggfs. </t>
    </r>
    <r>
      <rPr>
        <sz val="11"/>
        <color theme="1"/>
        <rFont val="Calibri"/>
        <family val="2"/>
        <scheme val="minor"/>
      </rPr>
      <t>quantifizierbaren Bedarf, oder wird sich dieser in absehbarer Zukunft entwickeln?</t>
    </r>
  </si>
  <si>
    <r>
      <t xml:space="preserve">Es gibt für die Software einen belastbaren und ggfs. </t>
    </r>
    <r>
      <rPr>
        <sz val="11"/>
        <color theme="1"/>
        <rFont val="Calibri"/>
        <family val="2"/>
        <scheme val="minor"/>
      </rPr>
      <t>quantifizierbaren Bedarf und/oder dieser wird sich in absehbarer Zukunft entwickeln.</t>
    </r>
  </si>
  <si>
    <r>
      <t xml:space="preserve">Allgemeine Frage zur Nachfrage der Software auf dem </t>
    </r>
    <r>
      <rPr>
        <sz val="11"/>
        <color theme="1"/>
        <rFont val="Calibri"/>
        <family val="2"/>
        <scheme val="minor"/>
      </rPr>
      <t>Markt. Gibt es bereits einen Bedarf für diese Software oder wird sich dieser in absehbarer Zukunft entwickeln?</t>
    </r>
  </si>
  <si>
    <t>Gibt es theoretisch genug Nachfrage, so dass sich eine Verwertung der Software lohnt.</t>
  </si>
  <si>
    <t>Wie entwickelt sich die Nachfrage der Software in der nächsten zeit.</t>
  </si>
  <si>
    <t>Abnehmer*innen die idealerweise bereits schrifftlich zugesagt haben die Software zu erwerben/nutzen wollen. Das können auch die Entwickler*innen sein, die die Software für ein StartUp verwenden wollen.</t>
  </si>
  <si>
    <t>Kann die Software beispielsweise über bestehende Plattformen oder Marktplätze (z.B. Appstores) vertrieben werden.</t>
  </si>
  <si>
    <t>Andere können die Software erweitern und modifizieren.</t>
  </si>
  <si>
    <t>Wenn die Möglichkeit besteht, dass (auch von anderen Entwicklern) weitere Anwendungen mit oder basierend auf der Software erstellt werden können, bietet dies Möglichkeiten der kommerziellen Nutzung (z.B. Lizensierung)</t>
  </si>
  <si>
    <t>Im Sinne von Konkurenzprodukten:Vergleichbare Produkte müssen keine direkten Kopien sein, es können verschiedene Produkte sein, mit denen die gleichen Aufgaben gelöst werden können und mit denen man auf dem Markt in Konkurenz tritt.</t>
  </si>
  <si>
    <t>Kleinere Vorteile wären vielleicht ein neues Userinterface. Man macht also das gleiche wie mit anderer Software, aber auf effizienterer Weise. Erhebliche Vorteile beinhalten higegen beispielsweise neuartige Funktionen.</t>
  </si>
  <si>
    <t>Ein schneller Markteintritt ist nur durch weitere Ressourcen möglich.</t>
  </si>
  <si>
    <t xml:space="preserve">Wie lange würde es noch dauern die Software zur Marktreife zu bringen, wenn man davon ausgeht, dass sich an den zur Verfügung stehenden Ressourcen ersteinmal nichts ändert? Schnell bedeutet dabei maximal 1 Jahr. </t>
  </si>
  <si>
    <t>TEAM</t>
  </si>
  <si>
    <r>
      <t xml:space="preserve">Einrichtung startklar machen(8) --&gt; Analyse des Teams(10)--&gt; Team befähigen(11) oder externes Team suchen(12)
</t>
    </r>
    <r>
      <rPr>
        <b/>
        <sz val="11"/>
        <color theme="1"/>
        <rFont val="Calibri"/>
        <family val="2"/>
        <scheme val="minor"/>
      </rPr>
      <t>Sollte nur im äußersten Notfall nicht verwertet werden</t>
    </r>
  </si>
  <si>
    <t xml:space="preserve">Hier wird abgefragt wie neuartig und einzigartig eine Software ist. Existieren bereits vergleichbare Anwendungen oder stellt die Software eine neuartige Lösung für ein (bekanntes) Problem dar. 
Es geht hierbei nicht nur um Software die bereits auf dem Markt existiert, sondern auch um Software welche in anderen Einrichtungen entwickelt wird. </t>
  </si>
  <si>
    <t>nicht relevant</t>
  </si>
  <si>
    <t>keine Antwort möglich</t>
  </si>
  <si>
    <t>relativ sicher</t>
  </si>
  <si>
    <t>sehr sicher/belegbar</t>
  </si>
  <si>
    <t>Ausgabe offene Fragen</t>
  </si>
  <si>
    <t>Gewichtung Spinout</t>
  </si>
  <si>
    <t>Gewichtung Dimension</t>
  </si>
  <si>
    <t>Toleranzen</t>
  </si>
  <si>
    <t>Anteil beantworte Fragen</t>
  </si>
  <si>
    <t>x</t>
  </si>
  <si>
    <t>Sind die Nutzungsbedingungen der Software für ein mögliches Start-up geklärt und dokumentiert?</t>
  </si>
  <si>
    <t xml:space="preserve">Die Nutzungsbedingungen sind derzeit in Klärung </t>
  </si>
  <si>
    <t xml:space="preserve">Für ein Start-up ist es wichtig, die Nutzungsbedingugnen für die Software anfangs zu kennen, um zu verstehen, auf was es sich einlässt und etwaige Nachverhandlungen später zu vermeiden </t>
  </si>
  <si>
    <t xml:space="preserve">Wird die Software exklsuiv an ein Start-up lizenziert? </t>
  </si>
  <si>
    <t xml:space="preserve">Die Software soll neben der exklusiven Lizenzierung auch im jeweiligen Institut genutzt werden </t>
  </si>
  <si>
    <t xml:space="preserve">Für die Kommerzialisierung in einem Start-up ist es essenziell, dass das Start-up die Software weitgehend exklusiv nutzen kann. Andernfalls kann der Wettbewerbsvorteil gegenüber der Konkurrenz verloren gehen. </t>
  </si>
  <si>
    <t xml:space="preserve">Kann die Software geschützt werden? </t>
  </si>
  <si>
    <t xml:space="preserve">Der Schutz der Software muss noch geprüft werden </t>
  </si>
  <si>
    <t xml:space="preserve">Ein möglicher Schutz der Software ist grundlegend wichtig für den weiteren Weg der Kommerzialisierung in einem Start-up und im Hinblick auf eine mögliche Finanzierungsrunde (IP-Schutz sowie Schutz vor Imimitation) </t>
  </si>
  <si>
    <t xml:space="preserve">Gibt es ein vollständiges, commitetes, erfahrenes Gründerteam, das alle erforderlichen Kompetenzen abdeckt, um ein erfolgreiches Start-up auszugründen </t>
  </si>
  <si>
    <t>Hat ihre Institution die Möglichkeit, das Start-up Team mit Co-Foundern sowie weiteren (hochqualifizierten) Mitarbeitern zu ergänzen (bspw. durch eigenen Talentpool, Ausschreibungen, verbundene Institutionen, Lehrstühle etc.)?</t>
  </si>
  <si>
    <t xml:space="preserve">Es gibt bereits Gründer, jedoch muss das Team noch mit weiteren Co-Foundern ausgestattet werden </t>
  </si>
  <si>
    <t xml:space="preserve">Die Institution verfügt punktuell/einzelfallabhängig über Möglichkeiten, Mitarbeiter/Co-Founder für das Start-up zu acquirieren </t>
  </si>
  <si>
    <t xml:space="preserve">Ein vollständiges und engagiertes ein Gründerteam, welches alle notwendigen Kompetenzen abdeckt, ist von enormer Wichtigkeit für den erfolgreichen Aufbau eines Start-ups </t>
  </si>
  <si>
    <t xml:space="preserve">Neben dem Gründerteam benötigt das Start-up in seiner Aufbauphase zumeist weitere Mitarbeiter in verschiedenen Bereichen. Es ist von großem Vorteil, wenn die Institution in der Lage ist, auf vorhandene Talente zurückzugreifen. </t>
  </si>
  <si>
    <t xml:space="preserve">Start-ups benötigen zur erfolgreichen Entwicklung ein Umfeld bzw. Support, um die Unternehmensentwicklung voranzutreiben. Neben fachlichem Support im Bereich Unternehmensentwicklung kann hierzu vor allem auch finanzieller Support (u.a. Gehälter während der Gründungsphase, Gelder für Sachmittel) bzw. auch anderer  Support in Form von zum Beispiel Equipment und Räumlichkeiten, die ein Start-up (kostengünstig) nutzen kann   </t>
  </si>
  <si>
    <t xml:space="preserve">Start-ups benötigen in ihrer Entwicklung Zugang zu verschiedensten Gruppen von Menschen und Unternehmen, mit denen Sie in Kontakt treten müssen. Dies können zum Beispiel Start-up Advisor/Experten, spezialisierte Anwälte/Notare, andere Start-ups, Investoren, oder auch Unternehmen für die Kundenacquise und Pilotprojekte sein. Es ist wichtig, dass Start-ups ein breites Netzwerk verschiedener Gruppen zur Verfügung gestellt bbekommt, um die Entwicklung nicht zu verzögern. Im Bereich Unternehmen ist ein breites Netzwerk von Unternehmen außerdem wichtig, um über die Institution eine gewisse Crediiblity zu bekommen, um ertwaige Produktverkäufe oder Pilotprojekte durchführen zu können </t>
  </si>
  <si>
    <t xml:space="preserve">In sehr vielen Fällen ist es so, dass sich Start-ups zumindest zu Beginn nicht selbst tragen können. Sie brauchen daher permanent Geld. Umso wichtiger ist es, im Umfeld der Insitution ein vorhandene Kontakte zu Start-up Finanzierern wie zum Beispiel Banken, Venture Capital Gebern, Business Angels etc. zu haben, die auf die Finanzierung (und Weiterentwicklung) von Start-ups (in der Frühphase) spezialisiert sind </t>
  </si>
  <si>
    <t xml:space="preserve">Bietet ihre Institution Gründern den notwendigen Support (u.a. fachliches Know-how, finanzielle Mittel, Räumlichkeiten, Equipment), um das Start-up erfolgreich zu entwickeln? </t>
  </si>
  <si>
    <t>Verfügt ihre Institution über ein Netzwerk an Partnern, die das Start-up voranbringen und die es nutzen kann?</t>
  </si>
  <si>
    <t xml:space="preserve">Verfügt die Institution übebr Kontakte zu  Wagnisfinaizierern, Banken, Business Angels etc., die dem Start-up potenziell eine (Anschluss-) Finanzierung zur Verfügung stellen können? </t>
  </si>
  <si>
    <t xml:space="preserve">Die Institution verfügt selbst nicht über Background und Support im Bereich Unternehmensgründungen, hat aber im vor Ort verbundene andere  Insititutionen, die bei Ausgründungen unterstützten können </t>
  </si>
  <si>
    <t xml:space="preserve">Es gibt die Möglichkeiten, über die Institiution potenzielle Partner anzusprechen. </t>
  </si>
  <si>
    <t xml:space="preserve">Es gibt die Möglickeit, über eigene Kontakte Verbindung mit potenziellen Anschlussfinanzierern herzustellen. </t>
  </si>
  <si>
    <r>
      <t>Wurde die Software nahe am Kunden bzw. sogar gemeinsam mit einem potenziellen Kunden entwickelt (</t>
    </r>
    <r>
      <rPr>
        <b/>
        <i/>
        <sz val="11"/>
        <color theme="1"/>
        <rFont val="Calibri Light"/>
        <family val="2"/>
        <scheme val="major"/>
      </rPr>
      <t>user-centric approach)</t>
    </r>
    <r>
      <rPr>
        <b/>
        <sz val="11"/>
        <color theme="1"/>
        <rFont val="Calibri Light"/>
        <family val="2"/>
        <scheme val="major"/>
      </rPr>
      <t xml:space="preserve">? </t>
    </r>
  </si>
  <si>
    <t xml:space="preserve">Gibt es bereits zahlende Kunden für die Software? </t>
  </si>
  <si>
    <t xml:space="preserve">Die Software soll im weiteren Verlauf nahe am Kunden bzw. gemeinsam mit potenziellen Kunden entwickelt werden </t>
  </si>
  <si>
    <t xml:space="preserve">Es gibt bereits Kundeninteresse </t>
  </si>
  <si>
    <t xml:space="preserve">Die Einbindung von potenziellen Kunden in den Enwicklungsprozess von Software ist ein wichtiger Schritt für Start-ups, um nicht am Markt "vorbeizuentwickeln". Es gibt verschiedenen Stufen, um user-centric (kundenzentriert) zu entwickeln. Hierzu gehören u.a. verschiedene Pilotprojekte mittels derer es möglich ist, über User Feedback bzw. Feedback-Loops wertvolles Feedback potenzieller Nutzer zu erhalten und in der Software zu verarbeiten. Auch kann die nutzerzentrierte Entwicklung über vorhandene Pilotprojekte die Attraktivität der Software bzw. des Start-ups bei potenziellen Investoren steigern. </t>
  </si>
  <si>
    <t xml:space="preserve">Die Feststellung, ob es bereits zahlende Kunden gibt, erbringt einen signifikanten Nachweis darüber, ob die Entwicklung der Software an den Bedürfnissen des Marktes durchgeführt wurde bzw. ob tatsächlich ein vorhandener  Marktschmerz befriedigt werden kann. Erste Kunden erleichtern den gesamten Start-up Aufbau deutlich. </t>
  </si>
  <si>
    <t>Vision</t>
  </si>
  <si>
    <t>Gewichtung Spin-Off</t>
  </si>
  <si>
    <t>Einzelne Empfehlungen</t>
  </si>
  <si>
    <t>Die Verwertung sollte so bald wie möglich gestartet werden.</t>
  </si>
  <si>
    <t>Durchführung einer Marktanlyse um neue Märkte zu erschließen. Sollte keine weiterer Markt vorhanden sein ggfs. Versuchen die Software an den bestehenden Markt anzupassen oder mit wenig Aufwand die Software veröffentlichen.</t>
  </si>
  <si>
    <t>Software hat wenige Potential für eine Verwertung.</t>
  </si>
  <si>
    <t>Ausgabe Probleme</t>
  </si>
  <si>
    <t>Technologie</t>
  </si>
  <si>
    <t>Strategie</t>
  </si>
  <si>
    <t>strukturelles Potential</t>
  </si>
  <si>
    <t>Motivation</t>
  </si>
  <si>
    <t>originelle Entwicklung</t>
  </si>
  <si>
    <t>visionäre Innovation</t>
  </si>
  <si>
    <t>neuartige Ausrichtung</t>
  </si>
  <si>
    <t>autarke Vision</t>
  </si>
  <si>
    <t>motivierte, strategische Entwicklung</t>
  </si>
  <si>
    <t>originelles, visionäres Projekt</t>
  </si>
  <si>
    <t>strategisches, visionäres Projekt</t>
  </si>
  <si>
    <t>profitabler, struktureller Kurs</t>
  </si>
  <si>
    <t>strategisches Konzept</t>
  </si>
  <si>
    <t>Code</t>
  </si>
  <si>
    <t>Cluster</t>
  </si>
  <si>
    <t>a</t>
  </si>
  <si>
    <t>Die Software ist eine neuartige Entwicklung.</t>
  </si>
  <si>
    <t>dazwischen (0,5)</t>
  </si>
  <si>
    <t>Es existiert maximal ein Proof of Concept (bis TRL 3).</t>
  </si>
  <si>
    <t>Die Software wurde erprobt und ist bereits im Einsatz (ab TRL 7).</t>
  </si>
  <si>
    <t>Die Wahrscheinlichkeit, dass die Entwicklung und/oder Verwertung abgebrochen werden muss, ist sehr hoch.</t>
  </si>
  <si>
    <t>Eine erfolgreiche Verwertung ist sehr wahrscheinlich.</t>
  </si>
  <si>
    <t>Die Software erfordert spezielle Zulassungen.</t>
  </si>
  <si>
    <t>Kein Zulassungen oder Standards müssen eingehalten werden.</t>
  </si>
  <si>
    <t>Es gibt Probleme bei der Verwendung externer Ressourcen.</t>
  </si>
  <si>
    <t>Verwendung ist sichergestellt.</t>
  </si>
  <si>
    <t>e</t>
  </si>
  <si>
    <t>Es gibt Probleme bei der Beschaffung von Ressourcen.</t>
  </si>
  <si>
    <t>Es gibt Probleme bei den Rechten.</t>
  </si>
  <si>
    <t>Existierende Veröffentlichungen stehe einer Patentierung entgegen.</t>
  </si>
  <si>
    <t xml:space="preserve">Es wird keine exklsuive Lizenzierung geben </t>
  </si>
  <si>
    <t xml:space="preserve">Ein Schutz ist nicht (mehr) möglich </t>
  </si>
  <si>
    <t>Es gibt noch offene Streitpunkte.</t>
  </si>
  <si>
    <t>Es exisitiert keinerlei Dokumentation der Autorenschaft.</t>
  </si>
  <si>
    <t>Es fehlend sowohl Zeit und Geld.</t>
  </si>
  <si>
    <t>Es fehlen wichtige Kompetenzen.</t>
  </si>
  <si>
    <t>Es gibt keine Vernetzung.</t>
  </si>
  <si>
    <t xml:space="preserve">Es sind gar keine Gründer vorhanden, um die Geschäftsidee umzusetzen und ein Start-up auszugründen </t>
  </si>
  <si>
    <t>Eine Verwertung ist nicht  mit den Forschungsaktivitäten vereinbar.</t>
  </si>
  <si>
    <t>Ein Abbruch wäre für die Einrichtung nicht tragbar.</t>
  </si>
  <si>
    <t xml:space="preserve">Es sind so gut wie keine nützlichen Partner vorhanden </t>
  </si>
  <si>
    <t xml:space="preserve">Es ist kein Netzwerk vorhanden </t>
  </si>
  <si>
    <t>Es gibt keinen Bedarf außerhalb der Einrichtung.</t>
  </si>
  <si>
    <t>Es gibt so gut wie keinen oder wenn nur einen kleinen Markt.</t>
  </si>
  <si>
    <t>Es existieren noch keine Vertriebsnetze.</t>
  </si>
  <si>
    <t>Es gibt bereits etablierte Produkte auf dem Markt.</t>
  </si>
  <si>
    <t>Ein schneller Markteintritt ist nicht möglich.</t>
  </si>
  <si>
    <t>Es wird ein Verlust erwartet.</t>
  </si>
  <si>
    <t>Es gibt noch keine zahlende Kunde m</t>
  </si>
  <si>
    <t>Die Software hat einen schädlichen Nutzen.</t>
  </si>
  <si>
    <t>Die Software ist vollständig unkommentiert.</t>
  </si>
  <si>
    <t xml:space="preserve">Die Nutzungsbedingungen sind noch nicht geklärt </t>
  </si>
  <si>
    <t>Die Entwickler beharren auf ihrer Position.</t>
  </si>
  <si>
    <t>Das Entwicklerteam will die Software nicht verwerten.</t>
  </si>
  <si>
    <t xml:space="preserve">Die Möglichkeiten der Talentacquise für Start-ups bietet die Institution nicht </t>
  </si>
  <si>
    <t>Die  Vorstellungen passen nicht zueinander und keiner zeigt Kompromissbereitschaft.</t>
  </si>
  <si>
    <t>Die Verwertung passt nicht zu der Zielen und strategischen Ausrichtung der Einrichtung.</t>
  </si>
  <si>
    <t>Die Einrichtung kann/will keine Ressourcen bereitstellen.</t>
  </si>
  <si>
    <t xml:space="preserve">Die Institution bietet aktuell keinerlei Support im Hinblick auf Start-up Ausgründungen. </t>
  </si>
  <si>
    <t>Der Markt schrumpft eher.</t>
  </si>
  <si>
    <t>Die Software ist in sich geschlossen.</t>
  </si>
  <si>
    <t>Die Software unterscheidet sich nicht sonderlich von Konkurenzprodukten.</t>
  </si>
  <si>
    <t>Die Software ist replizierbar.</t>
  </si>
  <si>
    <t>Die Software eignet sich nur als Standalone-Anwendung.</t>
  </si>
  <si>
    <t xml:space="preserve">Die Software wurde lediglich am Insititut entwickelt </t>
  </si>
  <si>
    <t>Die Dokumentation entspricht Standards.</t>
  </si>
  <si>
    <t xml:space="preserve">Die Nutzungsbebdingungen sind klar </t>
  </si>
  <si>
    <t xml:space="preserve">Die Software wird exklusiv zur Nutzung an ein Start-up lizenziert </t>
  </si>
  <si>
    <t>Das Entwicklerteam hat realistische Erwartungen hinsichtlich einerVerwertung.</t>
  </si>
  <si>
    <t>Das Entwicklerteam ist in beiden Bereichen gut integriert.</t>
  </si>
  <si>
    <t xml:space="preserve">Die Förderinstitution verfügt über verschiedene Möglichkeiten, Start-ups mit Personal auszustatten </t>
  </si>
  <si>
    <t>Die Vorstellungen passen zueinander.</t>
  </si>
  <si>
    <t>Die Software passt in das Kerngebiet der Einrichtung und diese will eine Verwertung durchführen.</t>
  </si>
  <si>
    <t>Die Einrichtung kann/will entsprechende Ressourcen bereitstellen.</t>
  </si>
  <si>
    <t xml:space="preserve">Die Institution hat selbst einen breiten Background im Bereich Unternehmensgründungen und bietet Start-ups den notwendigen Support </t>
  </si>
  <si>
    <t xml:space="preserve">Die Institution ist im Bereich Anschlussfinanzierung sehr gut mit potenziellen Geldgebern vernetzt </t>
  </si>
  <si>
    <t>Der Markt ist größer als erwartet.</t>
  </si>
  <si>
    <t>Die Software ermöglicht es Anderen ihre eigene Software basierend auf dieser zu entwickeln.</t>
  </si>
  <si>
    <t>Die Software ist nicht replizierbar</t>
  </si>
  <si>
    <t>Die Software kann schnell auf den Markt gebracht werden.</t>
  </si>
  <si>
    <t>Die Software hat ein breites Anwendungsspektrum.</t>
  </si>
  <si>
    <t xml:space="preserve">Die Software wurde bereits in der Entstehung nahe am Kunden bzw. sogar mit einem potenziellen Kunden gemeinsam entwickelt </t>
  </si>
  <si>
    <t>Es existieren keine Veröffentlichungen.</t>
  </si>
  <si>
    <t>Ein Schutz der Software ist bereits in der Mache</t>
  </si>
  <si>
    <t>Entwicklerteam wäre bereit für ein eigenes Start-Up.</t>
  </si>
  <si>
    <t>Eine ausreichende und verständliche Dokumentation liegt vor.</t>
  </si>
  <si>
    <t>Es sind ausreichend Kapazitäten vorhanden.</t>
  </si>
  <si>
    <t xml:space="preserve">Es ist ein Gründerteam vorhanden, dass alle Kompetenzen abdeckt, um das Start-up erfolgreich zu entwickeln und auszugründen </t>
  </si>
  <si>
    <t>Eine Verwertung ist mit den Forschungsaktivitäten vereinbar.</t>
  </si>
  <si>
    <t>Ein Abbruch wäre verkraftbar.</t>
  </si>
  <si>
    <t xml:space="preserve">Es gibt ein breites Netzwerk an hochwertigen Partner, mit denen das Start-up potenziell zusammenarbeiten kann </t>
  </si>
  <si>
    <t>Es gibt einen Bedarf.</t>
  </si>
  <si>
    <t>Es existiert ein wachsender Markt.</t>
  </si>
  <si>
    <t>Es gibt bereits etablierte Vertriebsnetze</t>
  </si>
  <si>
    <t>Es gibt keine vergleichbare Produkte und nach aktuellem Stand wird auch nichts entwickelt.</t>
  </si>
  <si>
    <t>Ein Gewinn wird erwartet.</t>
  </si>
  <si>
    <t xml:space="preserve">Es gibt bereits mindestens einen zahlenden Kunnden </t>
  </si>
  <si>
    <t>Alle Resourcen sind vorhanden.</t>
  </si>
  <si>
    <t>Alle Rechte sind vorhanden.</t>
  </si>
  <si>
    <t>Alle Fragen sind geklärt.</t>
  </si>
  <si>
    <t>Alle nötigen Kompetenzen sind vorhanden.</t>
  </si>
  <si>
    <t xml:space="preserve">Software ist unbedenklich.
</t>
  </si>
  <si>
    <t>Software ist noch unlizensiert.</t>
  </si>
  <si>
    <t>Software bietet erhebliche Vorteile für die Nutzer.</t>
  </si>
  <si>
    <t>Keiner aus dem Entwicklerteam ist bereit für ein Start-Up.</t>
  </si>
  <si>
    <t>Know-How geht verloren.</t>
  </si>
  <si>
    <t>Verwertung ist explizit erlaubt.</t>
  </si>
  <si>
    <t>Verwertung wird durch bestehende Verträge explizit ausgeschlossen.</t>
  </si>
  <si>
    <t>Zur Zeit keine.</t>
  </si>
  <si>
    <t>Fest zugesagte Abnehmer*innen.</t>
  </si>
  <si>
    <t>Das Know-How ist langfristig gesichert.</t>
  </si>
  <si>
    <t>Es ist nicht möglich alle Rechte in der Einrichtung zu vereinigen.</t>
  </si>
  <si>
    <t>Die Einrichtung hat alle nötigen Rechte.</t>
  </si>
  <si>
    <t>Das Entwicklerteam will bei der Verwertung mitarbeiten.</t>
  </si>
  <si>
    <t>b</t>
  </si>
  <si>
    <t>c</t>
  </si>
  <si>
    <t>d</t>
  </si>
  <si>
    <t>Lizensierung und Zulassung</t>
  </si>
  <si>
    <t>f</t>
  </si>
  <si>
    <t>Erfolgsfaktoren</t>
  </si>
  <si>
    <t>g</t>
  </si>
  <si>
    <t>Motivation Team</t>
  </si>
  <si>
    <t>Projektteam</t>
  </si>
  <si>
    <t>S01a</t>
  </si>
  <si>
    <t>Fragecode</t>
  </si>
  <si>
    <t>S01b</t>
  </si>
  <si>
    <t>S01c</t>
  </si>
  <si>
    <t>S02a</t>
  </si>
  <si>
    <t>S01d</t>
  </si>
  <si>
    <t>S03c</t>
  </si>
  <si>
    <t>S03d</t>
  </si>
  <si>
    <t>T01a</t>
  </si>
  <si>
    <t>T01b</t>
  </si>
  <si>
    <t>T02a</t>
  </si>
  <si>
    <t>T02b</t>
  </si>
  <si>
    <t>T03a</t>
  </si>
  <si>
    <t>T03b</t>
  </si>
  <si>
    <t>T03c</t>
  </si>
  <si>
    <t>E01a</t>
  </si>
  <si>
    <t>E01b</t>
  </si>
  <si>
    <t>E02a</t>
  </si>
  <si>
    <t>E02b</t>
  </si>
  <si>
    <t>E03a</t>
  </si>
  <si>
    <t>E03b</t>
  </si>
  <si>
    <t>M01a</t>
  </si>
  <si>
    <t>M02a</t>
  </si>
  <si>
    <t>M02b</t>
  </si>
  <si>
    <t>M02c</t>
  </si>
  <si>
    <t>M02d</t>
  </si>
  <si>
    <t>M02g</t>
  </si>
  <si>
    <t>Ja (gut = 1)</t>
  </si>
  <si>
    <t>Punkte Prozent</t>
  </si>
  <si>
    <t>Punkte Altes System</t>
  </si>
  <si>
    <t>Wert alt</t>
  </si>
  <si>
    <t>Punkte Spinout</t>
  </si>
  <si>
    <t>Nein (schlecht = 0)</t>
  </si>
  <si>
    <t>Punkte Zuversicht</t>
  </si>
  <si>
    <t>Alte Wertung</t>
  </si>
  <si>
    <t>neue Wertung</t>
  </si>
  <si>
    <t>Gewichtung Startup</t>
  </si>
  <si>
    <t>Punkte Startup</t>
  </si>
  <si>
    <t>Vollständigkeit Startup</t>
  </si>
  <si>
    <t>Startup</t>
  </si>
  <si>
    <t xml:space="preserve">Analysieren warum die Einrichtung dieses vielversprechendes Projekt nicht verwerten kann oder möchte und je nach Ergebniss die Einrichtung startklar machen oder ein unabhängiges Projekt starten (Startup). </t>
  </si>
  <si>
    <t>Das Team sollte eine Marktanlyse initieren. Sollte sich sich ein belastbarer Bedarf an der Technologie ergeben kann entweder die Einrichtung startklar gemacht werden oder ein unabhängiges Projekt gestartet werden.</t>
  </si>
  <si>
    <t>Analysieren woran es dem Team für die Verwertung mangelt und versuchen diesen zu beheben. Im Notfall die Verwertung an ein anderes Team übergeben und auf jeden Fall die Verwertung starten.</t>
  </si>
  <si>
    <t xml:space="preserve">Die Einrichtung sollte sich den Markt und die Technologie anschauen um zu eruieren ob sich eine Verwertung wirklich lohnt. Erst danach sollte versucht werden das Team zu stärken oder auszutauschen. Ohne Markt sollte eine Minimal Effort Verwertung in betracht gezogen werden.
Es sollte sich auch gefragt werden, warum die Einrichtung die Technologie auch ohne belastabren Markt verwerten will. </t>
  </si>
  <si>
    <r>
      <t xml:space="preserve">Um das große Potential der Technologie verwerten zu können sollte sowohl Einrichtung als auch das Team analysiert werden und Hindernisse in beiden Dimensionen beseigtigt werden.
</t>
    </r>
    <r>
      <rPr>
        <b/>
        <sz val="11"/>
        <color theme="1"/>
        <rFont val="Calibri"/>
        <family val="2"/>
        <scheme val="minor"/>
      </rPr>
      <t>Sollte nur im äußersten Notfall nicht verwertet werden</t>
    </r>
  </si>
  <si>
    <t xml:space="preserve">Existiert bereits eine Idee für einen Markt, sollte dieser Analysiert und Entwickelt werden um zu einer visionären Innovation zu kommen. Wenn es absolut keinen Markt für die Technologie gibt, so sollte diese gut dokumentiert archiviert werden schnell verwertet werden zu können wenn sich die Nachfrage ändert. Alternative käme auch eine Minimal Effort Verwertung in Frage. </t>
  </si>
  <si>
    <t xml:space="preserve">Analysieren wo die Probleme der Technologie liegen welche der Verwertung im Wege stehen und diese versuchen zu beheben. </t>
  </si>
  <si>
    <t xml:space="preserve">Um das Potential an der Einrichtung zu nutzen den Markt analysieren um die Technologie gezielt richtung Marktreife entwickeln zu können. </t>
  </si>
  <si>
    <t>Analyse der Einrichtung</t>
  </si>
  <si>
    <t>Das Team sollte eine Marktanlyse initieren. Sollte sich sich ein belastbarer Bedarf an der Technologie ergeben kann die Einrichtung startklar gemacht werden um für die Entwicklung der Technologie ein Projekt zu starten.</t>
  </si>
  <si>
    <t>Analysieren woran es dem Team für die Weiterentwicklung der vom Markt gefragten Technologie mangelt und versuchen den Mangel zu beheben. Im Notfall ein neues Team aufbauen.</t>
  </si>
  <si>
    <t>Analysieren woran es der Einrichtung mangelt um die Weiterentwicklung der gefragten Technologie zur Marktreife zu unterstützen und dem team helfen die Einrichtung von der Vision zu überzeugen.</t>
  </si>
  <si>
    <t>Identifizieren eines Teams welches für ein neues Projekt startklar gemacht werden kann.</t>
  </si>
  <si>
    <t>Analysieren ob der aufgetanen Markt zu den Zielen und Möglichkeiten der Einrichtung passt. Sollte dies der Fall sein, kann im Anschluss das Team für die Wieterentwicklung der Technologie befähigt werden.</t>
  </si>
  <si>
    <t>Analyse der Software(4) --&gt;Weiterentwicklung zur Marktreife(5)--&gt; Verwertung starten(1)</t>
  </si>
  <si>
    <t>Handlungsempfehlungen</t>
  </si>
  <si>
    <t>Herausfinden warum das Projekt nicht von der Einrichtung getragen werden kann oder will.</t>
  </si>
  <si>
    <t xml:space="preserve">Wichtigste Handlungsempfehlung: </t>
  </si>
  <si>
    <t>Beschreibung Projekt</t>
  </si>
  <si>
    <t>Kritische Frage</t>
  </si>
  <si>
    <t xml:space="preserve">Kritisch: </t>
  </si>
  <si>
    <t>Mindestwert für eine Aussagekräftige Bewertung</t>
  </si>
  <si>
    <t>Bewertung der Frage</t>
  </si>
  <si>
    <t>Wie sicher ist die Antwort</t>
  </si>
  <si>
    <t>2. Festlegen der Schwellenwerte (in Prozent)</t>
  </si>
  <si>
    <t>Bewertungstool SoftWert</t>
  </si>
  <si>
    <t>Eine detaillierte Auswertung mit Handlungsempfehlungen und offenen Fragen/ToDos ist im Sheet Auswertung zu finden</t>
  </si>
  <si>
    <t>Es handelt sich lediglich um eine Umsetzung bestehender Technologien.</t>
  </si>
  <si>
    <t>3. Beantworten der einzelnen Fragen per Dropdown-Felder. Nur relevante Felder sind außwählbar. Fragen bei denen nicht alle Spalten beantwortet werden gelten als nicht beantwortet und reduzieren die Wertung und Zuversicht. Sollen Fragen nicht in die Berechnung mit einbezogen werden, so kann für diese "nicht relevant" ausgewählt werden.</t>
  </si>
  <si>
    <t>Ziel und Zweck des Tools</t>
  </si>
  <si>
    <t>Aussagekraft der Bewertung</t>
  </si>
  <si>
    <t>Handhabung des Tools</t>
  </si>
  <si>
    <t>Beide Spalten müssen immer ausgefüllt sein damit eine Frage als beantwortet gilt.</t>
  </si>
  <si>
    <t>3. Markieren, ob eine Frage besonders kritisch ist in Spalte "Kritische Frage" (Hat momentan nur Auswirkung darauf, dass diese Frage bei Problemen besonders hervorgehoben wird).</t>
  </si>
  <si>
    <t>1. Eingabe der allgemeinen Informationen der zu bewertenden Software um diese später wieder indetifizieren zu können.</t>
  </si>
  <si>
    <t>Tool zur Einschätzung des Verwertungspotentials einer Software basierend auf der Einschätzung verschiedener Aspekte in vier Dimensionen. Zusätzlich werden die Handlungsempfehlungen für die nächsten Schritte gegeben sowie eine Einschätzung ob sich die Software für ein Startup anbietet.</t>
  </si>
  <si>
    <t>Mindestwert ab der die Dimension als Erfolgsfaktor gesehen werden kann.</t>
  </si>
  <si>
    <t>Kritische Zone, Szenarien und Handlungsempfehlungen</t>
  </si>
  <si>
    <t>Bewertung Potential für ein Startup</t>
  </si>
  <si>
    <t>Anpassung des Bewertungstools</t>
  </si>
  <si>
    <t>Allgemeine Gedanken zur Nutzung des Bewertungstools</t>
  </si>
  <si>
    <t>4. Tabellenblatt Auswertung öffnen um die Bewertung und Handlungsemfpehlungen zu sehen.</t>
  </si>
  <si>
    <r>
      <rPr>
        <b/>
        <sz val="11"/>
        <color theme="4"/>
        <rFont val="Calibri (Body)"/>
      </rPr>
      <t>1. Bewertung der einzelnen Aspekte der Software durch Auswahl der zutreffenden Antwort in der Spalte "Bewertung der Frage":</t>
    </r>
    <r>
      <rPr>
        <sz val="11"/>
        <color theme="1"/>
        <rFont val="Calibri"/>
        <family val="2"/>
        <scheme val="minor"/>
      </rPr>
      <t xml:space="preserve">
</t>
    </r>
    <r>
      <rPr>
        <b/>
        <sz val="12"/>
        <color theme="1"/>
        <rFont val="Calibri (Body)"/>
      </rPr>
      <t>nein</t>
    </r>
    <r>
      <rPr>
        <sz val="11"/>
        <color theme="1"/>
        <rFont val="Calibri"/>
        <family val="2"/>
        <scheme val="minor"/>
      </rPr>
      <t xml:space="preserve"> = In dem zu bewertenden Fall gibt es Probleme, die eine Verwertung verhindern oder auf andere Art und Weise negativ beeinflussen können. </t>
    </r>
    <r>
      <rPr>
        <b/>
        <sz val="11"/>
        <color theme="1"/>
        <rFont val="Calibri"/>
        <family val="2"/>
        <scheme val="minor"/>
      </rPr>
      <t xml:space="preserve">Die Punktzahl wird durch diese Antwort stark reduziert.
</t>
    </r>
    <r>
      <rPr>
        <sz val="11"/>
        <color theme="1"/>
        <rFont val="Calibri"/>
        <family val="2"/>
        <scheme val="minor"/>
      </rPr>
      <t xml:space="preserve">
</t>
    </r>
    <r>
      <rPr>
        <b/>
        <sz val="12"/>
        <color theme="1"/>
        <rFont val="Calibri (Body)"/>
      </rPr>
      <t>dazwischen</t>
    </r>
    <r>
      <rPr>
        <sz val="11"/>
        <color theme="1"/>
        <rFont val="Calibri"/>
        <family val="2"/>
        <scheme val="minor"/>
      </rPr>
      <t xml:space="preserve"> = Es gibt Hindernisse. Diese können jedoch leicht überwunden werden oder haben keinen großen Einfluss. </t>
    </r>
    <r>
      <rPr>
        <b/>
        <sz val="11"/>
        <color theme="1"/>
        <rFont val="Calibri"/>
        <family val="2"/>
        <scheme val="minor"/>
      </rPr>
      <t xml:space="preserve">Die Punktzahl wird durch diese Antwort leicht reduziert.
</t>
    </r>
    <r>
      <rPr>
        <sz val="11"/>
        <color theme="1"/>
        <rFont val="Calibri"/>
        <family val="2"/>
        <scheme val="minor"/>
      </rPr>
      <t xml:space="preserve">
</t>
    </r>
    <r>
      <rPr>
        <b/>
        <sz val="12"/>
        <color theme="1"/>
        <rFont val="Calibri (Body)"/>
      </rPr>
      <t>ja</t>
    </r>
    <r>
      <rPr>
        <sz val="11"/>
        <color theme="1"/>
        <rFont val="Calibri"/>
        <family val="2"/>
        <scheme val="minor"/>
      </rPr>
      <t xml:space="preserve"> = Es gibt keine nennenswerten Hindernisse, welche die Nutzung beeinflussen könnten. </t>
    </r>
    <r>
      <rPr>
        <b/>
        <sz val="11"/>
        <color theme="1"/>
        <rFont val="Calibri"/>
        <family val="2"/>
        <scheme val="minor"/>
      </rPr>
      <t xml:space="preserve">Die Punktzahl wird nicht verringert.
</t>
    </r>
    <r>
      <rPr>
        <sz val="11"/>
        <color theme="1"/>
        <rFont val="Calibri"/>
        <family val="2"/>
        <scheme val="minor"/>
      </rPr>
      <t xml:space="preserve">
</t>
    </r>
    <r>
      <rPr>
        <b/>
        <sz val="12"/>
        <color theme="1"/>
        <rFont val="Calibri (Body)"/>
      </rPr>
      <t>nicht relevant</t>
    </r>
    <r>
      <rPr>
        <sz val="11"/>
        <color theme="1"/>
        <rFont val="Calibri"/>
        <family val="2"/>
        <scheme val="minor"/>
      </rPr>
      <t xml:space="preserve"> = Dieser Aspekt ist für den vorliegenden Fall nicht relevant. Er muss daher nicht in die Berechnung einbezogen werden. </t>
    </r>
    <r>
      <rPr>
        <b/>
        <sz val="11"/>
        <color theme="1"/>
        <rFont val="Calibri"/>
        <family val="2"/>
        <scheme val="minor"/>
      </rPr>
      <t xml:space="preserve">Daher hat diese Frage keinen Einfluss auf die Punktzahl.
</t>
    </r>
    <r>
      <rPr>
        <sz val="11"/>
        <color theme="1"/>
        <rFont val="Calibri"/>
        <family val="2"/>
        <scheme val="minor"/>
      </rPr>
      <t xml:space="preserve">
</t>
    </r>
    <r>
      <rPr>
        <b/>
        <sz val="12"/>
        <color theme="1"/>
        <rFont val="Calibri (Body)"/>
      </rPr>
      <t>leer/Frage ist nicht beantwortbar</t>
    </r>
    <r>
      <rPr>
        <sz val="11"/>
        <color theme="1"/>
        <rFont val="Calibri"/>
        <family val="2"/>
        <scheme val="minor"/>
      </rPr>
      <t xml:space="preserve"> = Bei dieser Frage ist keine Antwort möglich. </t>
    </r>
    <r>
      <rPr>
        <b/>
        <sz val="11"/>
        <color theme="1"/>
        <rFont val="Calibri"/>
        <family val="2"/>
        <scheme val="minor"/>
      </rPr>
      <t>Bei nicht beantwortbaren Fragen wird die Punktzahl stark reduziert.</t>
    </r>
  </si>
  <si>
    <r>
      <rPr>
        <b/>
        <sz val="11"/>
        <color theme="4"/>
        <rFont val="Calibri (Body)"/>
      </rPr>
      <t>2. Angabe der Zuversicht zu den einzelnen Antworten in der Spalte "Wie Sicher ist die Antwort":</t>
    </r>
    <r>
      <rPr>
        <sz val="11"/>
        <color theme="1"/>
        <rFont val="Calibri"/>
        <family val="2"/>
        <scheme val="minor"/>
      </rPr>
      <t xml:space="preserve">
</t>
    </r>
    <r>
      <rPr>
        <b/>
        <sz val="12"/>
        <color theme="1"/>
        <rFont val="Calibri (Body)"/>
      </rPr>
      <t>leeres Feld</t>
    </r>
    <r>
      <rPr>
        <sz val="11"/>
        <color theme="1"/>
        <rFont val="Calibri"/>
        <family val="2"/>
        <scheme val="minor"/>
      </rPr>
      <t xml:space="preserve"> = Noch keine Antwort möglich. </t>
    </r>
    <r>
      <rPr>
        <b/>
        <sz val="11"/>
        <color theme="1"/>
        <rFont val="Calibri"/>
        <family val="2"/>
        <scheme val="minor"/>
      </rPr>
      <t xml:space="preserve">Dies reduziert die Aussagekraft der Bewertung sehr stark.
</t>
    </r>
    <r>
      <rPr>
        <sz val="11"/>
        <color theme="1"/>
        <rFont val="Calibri"/>
        <family val="2"/>
        <scheme val="minor"/>
      </rPr>
      <t xml:space="preserve">
</t>
    </r>
    <r>
      <rPr>
        <sz val="12"/>
        <color theme="1"/>
        <rFont val="Calibri (Body)"/>
      </rPr>
      <t>unsicher</t>
    </r>
    <r>
      <rPr>
        <sz val="11"/>
        <color theme="1"/>
        <rFont val="Calibri"/>
        <family val="2"/>
        <scheme val="minor"/>
      </rPr>
      <t xml:space="preserve"> = Die Antwort ist nur eine Einschätzung ohne fundiertes Wissen. </t>
    </r>
    <r>
      <rPr>
        <b/>
        <sz val="11"/>
        <color theme="1"/>
        <rFont val="Calibri"/>
        <family val="2"/>
        <scheme val="minor"/>
      </rPr>
      <t xml:space="preserve">Dies führt zu einer starken verringerung der Aussagekraft der Bewertung.
</t>
    </r>
    <r>
      <rPr>
        <sz val="11"/>
        <color theme="1"/>
        <rFont val="Calibri"/>
        <family val="2"/>
        <scheme val="minor"/>
      </rPr>
      <t xml:space="preserve">
</t>
    </r>
    <r>
      <rPr>
        <b/>
        <sz val="12"/>
        <color theme="1"/>
        <rFont val="Calibri (Body)"/>
      </rPr>
      <t>sicher</t>
    </r>
    <r>
      <rPr>
        <sz val="11"/>
        <color theme="1"/>
        <rFont val="Calibri"/>
        <family val="2"/>
        <scheme val="minor"/>
      </rPr>
      <t xml:space="preserve"> = Man ist sich bei der Beantwortung relativ sicher, es gibt aber immer noch die Möglichkeit, dass die Antwort sich noch ändern kann. </t>
    </r>
    <r>
      <rPr>
        <b/>
        <sz val="11"/>
        <color theme="1"/>
        <rFont val="Calibri"/>
        <family val="2"/>
        <scheme val="minor"/>
      </rPr>
      <t xml:space="preserve">Dies reduziert die Aussagekraft der Bewertung geringfügig.
</t>
    </r>
    <r>
      <rPr>
        <sz val="11"/>
        <color theme="1"/>
        <rFont val="Calibri"/>
        <family val="2"/>
        <scheme val="minor"/>
      </rPr>
      <t xml:space="preserve">
</t>
    </r>
    <r>
      <rPr>
        <b/>
        <sz val="12"/>
        <color theme="1"/>
        <rFont val="Calibri (Body)"/>
      </rPr>
      <t>sehr sicher/belgbar</t>
    </r>
    <r>
      <rPr>
        <sz val="11"/>
        <color theme="1"/>
        <rFont val="Calibri"/>
        <family val="2"/>
        <scheme val="minor"/>
      </rPr>
      <t xml:space="preserve"> = Die Antwort gilt als nahezu 100% belegbar und wird sich eigentlich nicht mehr ändern. </t>
    </r>
    <r>
      <rPr>
        <b/>
        <sz val="11"/>
        <color theme="1"/>
        <rFont val="Calibri"/>
        <family val="2"/>
        <scheme val="minor"/>
      </rPr>
      <t>Keine Reuktion der Aussagekraft der Bewertung.</t>
    </r>
  </si>
  <si>
    <t>Marktorientierung</t>
  </si>
  <si>
    <t>Prioritäten</t>
  </si>
  <si>
    <r>
      <t xml:space="preserve">Marktanalyse(2) --&gt; Marktorientierung(3) oder Analyse der Software(4) --&gt; Team befähigen(11) oder externes Team suchen(12) ggfs. für Weiterentwicklung zur Marktreife(5) oder Verwertung starten(1); ansonsten Minimal Effort Verwertung(6)
</t>
    </r>
    <r>
      <rPr>
        <b/>
        <sz val="11"/>
        <color theme="1"/>
        <rFont val="Calibri"/>
        <family val="2"/>
        <scheme val="minor"/>
      </rPr>
      <t>Feedback sammeln: Warum soll Software ohne Marktpotential verwertet werden</t>
    </r>
  </si>
  <si>
    <t>Marktanalyse(2)--&gt; Marktorientierung(3) oder Analyse der Software(4) und Weiterentwicklung zur Marktreife(5); ansonsten Minimal Effort-Verwertung(6)</t>
  </si>
  <si>
    <t>Anpassung der Grenz-/Schwellenwerte</t>
  </si>
  <si>
    <t>Anpassung der Gewichtung</t>
  </si>
  <si>
    <t>Frage austauschen/hinzufügen/entfernen</t>
  </si>
  <si>
    <t>Dieses Tool soll zunächst eine erste Einschätzung des Verwertungspotenzials einer Software geben. Dazu werden verschiedene Aspekte einer Software in vier Dimensionen bewertet, für die jeweils ein Prozentwert berechnet wird. Dieser gibt näherungsweise an, ob in dieser Dimension alles für eine Verwertung spricht oder ob mit vielen oder problematischen Hindernissen zu rechnen ist. Addiert man die Werte aller Dimensionen, erhält man eine Gesamteinschätzung des Verwertungspotenzials und kann daraus Handlungsempfehlungen für das weitere Vorgehen ableiten.</t>
  </si>
  <si>
    <r>
      <t xml:space="preserve">Die vier Dimensionen des Tool sind: 
</t>
    </r>
    <r>
      <rPr>
        <b/>
        <sz val="12"/>
        <color rgb="FF90ABD3"/>
        <rFont val="Calibri (Body)"/>
      </rPr>
      <t>Software</t>
    </r>
    <r>
      <rPr>
        <sz val="11"/>
        <color theme="1"/>
        <rFont val="Calibri"/>
        <family val="2"/>
        <scheme val="minor"/>
      </rPr>
      <t xml:space="preserve">: Fragen zum Entwicklungstand und Art der Software selbst.
</t>
    </r>
    <r>
      <rPr>
        <b/>
        <sz val="12"/>
        <color rgb="FFFADADA"/>
        <rFont val="Calibri (Body)"/>
      </rPr>
      <t>Team</t>
    </r>
    <r>
      <rPr>
        <sz val="11"/>
        <color theme="1"/>
        <rFont val="Calibri"/>
        <family val="2"/>
        <scheme val="minor"/>
      </rPr>
      <t xml:space="preserve">: Fragen zum Entwicklungsteam und deren Kapazitäten.
</t>
    </r>
    <r>
      <rPr>
        <b/>
        <sz val="12"/>
        <color rgb="FFFDE7BD"/>
        <rFont val="Calibri (Body)"/>
      </rPr>
      <t>Einrichtung</t>
    </r>
    <r>
      <rPr>
        <sz val="11"/>
        <color theme="1"/>
        <rFont val="Calibri"/>
        <family val="2"/>
        <scheme val="minor"/>
      </rPr>
      <t xml:space="preserve">: Fragen zu Zielen und Ressourcen der Einrichtung für die Verwertung
</t>
    </r>
    <r>
      <rPr>
        <b/>
        <sz val="12"/>
        <color rgb="FFC0DFCD"/>
        <rFont val="Calibri (Body)"/>
      </rPr>
      <t>Markt</t>
    </r>
    <r>
      <rPr>
        <sz val="11"/>
        <color theme="1"/>
        <rFont val="Calibri"/>
        <family val="2"/>
        <scheme val="minor"/>
      </rPr>
      <t>: Fragen zur Nachfrage, Konkurenz und Refinanzierung.
Für jede Dimension wird ein Prozentwert berechnet, der angibt, wie hoch das Verwertungspotenzial in diesem Teilbereich ist. Je näher der Wert bei 100% liegt, desto weniger Probleme sind zu erwarten, die einer Verwertung entgegenstehen. Alle Aspekte, die zu erheblichen Hemmnissen führen können oder die noch nicht verlässlich eingeschätzt werden können, werden in der Auswertung besonders hervorgehoben, so dass auf einen Blick mögliche Ansatzpunkte zur Verbesserung der Verwertbarkeit erkennbar sind.</t>
    </r>
  </si>
  <si>
    <t>Für die Gesamtbewertung des Verwertungspotenzials muss für jede Dimension ein Schwellenwert festgelegt werden, der anlagenspezifisch in etwa angibt, ab wann die Dimension einen Mindestwert an Verwertbarkeit aufweist. Je nachdem, welche Dimensionen über den jeweiligen Schwellenwerten liegen, kann schließlich eine Gesamtbewertung erfolgen und dem Ganzen ein Szenario zugeordnet werden, das wichtige allgemeine Handlungsempfehlungen für die nächsten Schritte zusammenfasst.</t>
  </si>
  <si>
    <t>Neben der Bewertung des allgemeinen Verwertungspotenzials kann das Tool auch einen Hinweis darauf geben, wie gut sich die Software für ein Startup eignet. Dazu werden aus den Fragen diejenigen ausgewählt, die für die Gründung eines Startups besonders wichtig sind (diese können auch angepasst werden: siehe Anpassung des Bewertungstools). Aus diesen wird wie bei den Dimensionen ein Prozentwert berechnet und ein Schwellenwert festgelegt. Liegt der Wert darüber, wird in der Auswertung ein entsprechender Hinweis gegeben.</t>
  </si>
  <si>
    <t>Für jede Bewertung im Tool muss zusätzlich angegeben werden, wie sicher die Bewertung ist. Dies dient dazu, die Aussagekraft der Bewertung zu messen. Wenn ein großer Teil der Fragen nur mit großer Unsicherheit oder gar nicht beantwortet werden kann, sollte das Ergebnis mit Vorsicht behandelt werden. Ähnlich wie bei den Dimensionen kann auch hier ein Schwellenwert festgelegt werden. Unsichere und unbeantwortete Fragen werden in der Auswertung zusätzlich hervorgehoben.</t>
  </si>
  <si>
    <t xml:space="preserve">Das Bewertungstool kann keine Entscheidungen treffen, sondern gibt nur einen Überblick über die Möglichkeiten der Verwertung. 
Nicht alle Dimensionen müssen außerhalb des kritischen Bereichs liegen, damit eine Software verwertbar ist. Man sollte sich immer die vorhandenen Probleme anschauen und überlegen, wie relevant sie sind oder wie sie beseitigt werden können.
Nicht versuchen, das Potential künstlich zu erhöhen, indem man die Schwellenwerte anpasst, sondern versuchen, an den identifizierten Problemen zu arbeiten.
Es ist nicht schlimm, Fragen nicht zu beantworten. Man kann immer wieder zum Tool zurückkehren und sie ergänzen, wenn man die Antwort kennt. </t>
  </si>
  <si>
    <t>Das Tool bietet mehrere Anpassungsmöglichkeiten, die hier kurz beschrieben werden. In der Version, die von softwert.org heruntergeladen werden kann, sind die Tabellenblätter gesperrt, so dass nur die auszufüllenden Felder geändert werden können. Dies dient nur dem Schutz vor unbeabsichtigten Änderungen am Tool selbst und kann jederzeit über Prüfen --&gt; Blatt schützen aufgehoben werden.</t>
  </si>
  <si>
    <t>Die Werte, mit denen eine Dimension als kritisch oder ungenau bewertet wird, können in der Tabelle Bewertungsbogen oben in den entsprechenden Feldern leicht angepasst werden. Die Werte sollten Prozentwerte zwischen 0 und 100 sein, wobei 60% für die Bewertung und 70% für das Vertrauen empfohlen werden.</t>
  </si>
  <si>
    <t>Standardmäßig werden die Fragen für die normale Auswertung alle gleich gewichtet, d.h. sie gehen zu gleichen Teilen in die Berechnung ein. Für die Bewertung des Gründungspotenzials ist bereits eine Gewichtung hinterlegt. Beide Gewichtungen können im Tabellenblatt Fragenkatalog eingesehen und geändert werden. In dieser Tabelle befinden sich am Ende zwei entsprechende Spalten, in denen die Werte geändert werden können. Dabei spielt es keine Rolle, ob es sich um Prozentwerte oder Faktoren handelt, solange für alle Fragen die gleiche Art von Wert angegeben wird. 
Beispiel: Frage 1 = 50 %; Frage 2 = 100 %; Frage 3 = 137 % 
oder Frage 1 = 1; Frage 2 = 0,5; Frage 3 = 3.
#
Sonderfall Gründungspotenzial: Bei Fragen, bei denen sich eine negative Antwort positiv auf das Gründungspotenzial auswirken würde, können auch negative Werte eingegeben werden.</t>
  </si>
  <si>
    <t>Um eine Frage im Tool zu ändern, genügt es, die ID in der ersten Spalte des Tabellenblatts Bewertungsbogen zu ändern. Das Tool übernimmt dann automatisch die restlichen Informationen aus dem Fragenkatalog. Dort können auch die Texte angepasst und komplett neue Fragen hinzugefügt werden. Wenn die Anzahl der Fragen pro Dimension erhöht oder verringert werden soll, ist es am einfachsten, dies nicht am Ende einer Dimension, sondern in der Mitte zu tun und die anderen Fragen entsprechend zu verschieben.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</si>
</sst>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9" x14ac:knownFonts="1">
    <font>
      <sz val="11"/>
      <color theme="1"/>
      <name val="Calibri"/>
      <family val="2"/>
      <scheme val="minor"/>
    </font>
    <font>
      <sz val="11"/>
      <color theme="1"/>
      <name val="Calibri Light"/>
      <family val="2"/>
      <scheme val="major"/>
    </font>
    <font>
      <b/>
      <sz val="12"/>
      <name val="Calibri Light"/>
      <family val="2"/>
      <scheme val="major"/>
    </font>
    <font>
      <i/>
      <sz val="12"/>
      <color theme="1"/>
      <name val="Calibri Light"/>
      <family val="2"/>
      <scheme val="major"/>
    </font>
    <font>
      <b/>
      <sz val="12"/>
      <color theme="1"/>
      <name val="Calibri Light"/>
      <family val="2"/>
      <scheme val="major"/>
    </font>
    <font>
      <b/>
      <sz val="18"/>
      <color theme="1"/>
      <name val="Calibri Light"/>
      <family val="2"/>
      <scheme val="major"/>
    </font>
    <font>
      <b/>
      <sz val="18"/>
      <name val="Calibri Light"/>
      <family val="2"/>
      <scheme val="major"/>
    </font>
    <font>
      <i/>
      <sz val="11"/>
      <color theme="1"/>
      <name val="Calibri Light"/>
      <family val="2"/>
      <scheme val="major"/>
    </font>
    <font>
      <b/>
      <sz val="16"/>
      <color theme="1"/>
      <name val="Calibri Light"/>
      <family val="2"/>
      <scheme val="major"/>
    </font>
    <font>
      <i/>
      <sz val="18"/>
      <color theme="1"/>
      <name val="Calibri Light"/>
      <family val="2"/>
      <scheme val="major"/>
    </font>
    <font>
      <b/>
      <sz val="11"/>
      <color theme="1"/>
      <name val="Calibri Light"/>
      <family val="2"/>
      <scheme val="major"/>
    </font>
    <font>
      <b/>
      <sz val="14"/>
      <color theme="1"/>
      <name val="Calibri Light"/>
      <family val="2"/>
      <scheme val="major"/>
    </font>
    <font>
      <sz val="14"/>
      <color theme="1"/>
      <name val="Calibri Light"/>
      <family val="2"/>
      <scheme val="major"/>
    </font>
    <font>
      <b/>
      <sz val="12"/>
      <color theme="1"/>
      <name val="Calibri"/>
      <family val="2"/>
      <scheme val="minor"/>
    </font>
    <font>
      <sz val="12"/>
      <color theme="1"/>
      <name val="Calibri Light"/>
      <family val="2"/>
      <scheme val="major"/>
    </font>
    <font>
      <b/>
      <sz val="14"/>
      <name val="Calibri Light"/>
      <family val="2"/>
      <scheme val="major"/>
    </font>
    <font>
      <b/>
      <sz val="16"/>
      <name val="Calibri Light"/>
      <family val="2"/>
      <scheme val="major"/>
    </font>
    <font>
      <sz val="11"/>
      <name val="Calibri Light"/>
      <family val="2"/>
      <scheme val="major"/>
    </font>
    <font>
      <sz val="10"/>
      <color theme="1"/>
      <name val="Calibri Light"/>
      <family val="2"/>
      <scheme val="major"/>
    </font>
    <font>
      <b/>
      <i/>
      <sz val="18"/>
      <color theme="1"/>
      <name val="Calibri Light"/>
      <family val="2"/>
      <scheme val="major"/>
    </font>
    <font>
      <b/>
      <sz val="11"/>
      <color theme="1"/>
      <name val="Calibri"/>
      <family val="2"/>
      <scheme val="minor"/>
    </font>
    <font>
      <b/>
      <sz val="11"/>
      <name val="Calibri Light"/>
      <family val="2"/>
      <scheme val="major"/>
    </font>
    <font>
      <b/>
      <i/>
      <sz val="20"/>
      <color theme="1"/>
      <name val="Calibri Light"/>
      <family val="2"/>
      <scheme val="major"/>
    </font>
    <font>
      <sz val="11"/>
      <color theme="1"/>
      <name val="Calibri"/>
      <family val="2"/>
      <scheme val="minor"/>
    </font>
    <font>
      <b/>
      <i/>
      <sz val="11"/>
      <color theme="1"/>
      <name val="Calibri Light"/>
      <family val="2"/>
      <scheme val="major"/>
    </font>
    <font>
      <sz val="8"/>
      <name val="Calibri"/>
      <family val="2"/>
      <scheme val="minor"/>
    </font>
    <font>
      <sz val="11"/>
      <color rgb="FFC00000"/>
      <name val="Calibri"/>
      <family val="2"/>
      <scheme val="minor"/>
    </font>
    <font>
      <sz val="11"/>
      <name val="Calibri"/>
      <family val="2"/>
      <scheme val="minor"/>
    </font>
    <font>
      <i/>
      <sz val="14"/>
      <color theme="1"/>
      <name val="Calibri Light"/>
      <family val="2"/>
      <scheme val="major"/>
    </font>
    <font>
      <b/>
      <sz val="22"/>
      <color theme="1"/>
      <name val="Calibri Light"/>
      <family val="2"/>
      <scheme val="major"/>
    </font>
    <font>
      <sz val="22"/>
      <color theme="1"/>
      <name val="Calibri Light"/>
      <family val="2"/>
      <scheme val="major"/>
    </font>
    <font>
      <b/>
      <sz val="12"/>
      <color theme="1"/>
      <name val="Calibri (Body)"/>
    </font>
    <font>
      <sz val="12"/>
      <color theme="1"/>
      <name val="Calibri (Body)"/>
    </font>
    <font>
      <b/>
      <sz val="11"/>
      <color theme="4"/>
      <name val="Calibri (Body)"/>
    </font>
    <font>
      <b/>
      <sz val="11"/>
      <color theme="4"/>
      <name val="Calibri"/>
      <family val="2"/>
      <scheme val="minor"/>
    </font>
    <font>
      <b/>
      <sz val="12"/>
      <color rgb="FFFADADA"/>
      <name val="Calibri (Body)"/>
    </font>
    <font>
      <b/>
      <sz val="12"/>
      <color rgb="FF90ABD3"/>
      <name val="Calibri (Body)"/>
    </font>
    <font>
      <b/>
      <sz val="12"/>
      <color rgb="FFFDE7BD"/>
      <name val="Calibri (Body)"/>
    </font>
    <font>
      <b/>
      <sz val="12"/>
      <color rgb="FFC0DFCD"/>
      <name val="Calibri (Body)"/>
    </font>
  </fonts>
  <fills count="35">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E6E9F1"/>
        <bgColor indexed="64"/>
      </patternFill>
    </fill>
    <fill>
      <patternFill patternType="solid">
        <fgColor rgb="FFF3E8E7"/>
        <bgColor indexed="64"/>
      </patternFill>
    </fill>
    <fill>
      <patternFill patternType="solid">
        <fgColor rgb="FFF2F3E7"/>
        <bgColor indexed="64"/>
      </patternFill>
    </fill>
    <fill>
      <patternFill patternType="solid">
        <fgColor rgb="FFE7F3EC"/>
        <bgColor indexed="64"/>
      </patternFill>
    </fill>
    <fill>
      <patternFill patternType="solid">
        <fgColor theme="6" tint="0.79998168889431442"/>
        <bgColor theme="4" tint="0.79998168889431442"/>
      </patternFill>
    </fill>
    <fill>
      <patternFill patternType="solid">
        <fgColor rgb="FF90ABD3"/>
        <bgColor theme="4" tint="0.79998168889431442"/>
      </patternFill>
    </fill>
    <fill>
      <patternFill patternType="solid">
        <fgColor rgb="FFFADADA"/>
        <bgColor theme="4" tint="0.79998168889431442"/>
      </patternFill>
    </fill>
    <fill>
      <patternFill patternType="solid">
        <fgColor rgb="FFFDE7BD"/>
        <bgColor theme="4" tint="0.79998168889431442"/>
      </patternFill>
    </fill>
    <fill>
      <patternFill patternType="solid">
        <fgColor rgb="FFC0DFCD"/>
        <bgColor theme="4" tint="0.79998168889431442"/>
      </patternFill>
    </fill>
    <fill>
      <patternFill patternType="solid">
        <fgColor rgb="FFB6ABD6"/>
        <bgColor theme="4" tint="0.79998168889431442"/>
      </patternFill>
    </fill>
    <fill>
      <patternFill patternType="solid">
        <fgColor rgb="FF90ABD3"/>
        <bgColor indexed="64"/>
      </patternFill>
    </fill>
    <fill>
      <patternFill patternType="solid">
        <fgColor rgb="FF6285BB"/>
        <bgColor indexed="64"/>
      </patternFill>
    </fill>
    <fill>
      <patternFill patternType="solid">
        <fgColor rgb="FF6285BB"/>
        <bgColor theme="4" tint="0.79998168889431442"/>
      </patternFill>
    </fill>
    <fill>
      <patternFill patternType="solid">
        <fgColor rgb="FFEB5C3F"/>
        <bgColor indexed="64"/>
      </patternFill>
    </fill>
    <fill>
      <patternFill patternType="solid">
        <fgColor rgb="FFEB5C3F"/>
        <bgColor theme="4" tint="0.79998168889431442"/>
      </patternFill>
    </fill>
    <fill>
      <patternFill patternType="solid">
        <fgColor rgb="FFFADADA"/>
        <bgColor indexed="64"/>
      </patternFill>
    </fill>
    <fill>
      <patternFill patternType="solid">
        <fgColor rgb="FF42976A"/>
        <bgColor indexed="64"/>
      </patternFill>
    </fill>
    <fill>
      <patternFill patternType="solid">
        <fgColor rgb="FF42976A"/>
        <bgColor theme="4" tint="0.79998168889431442"/>
      </patternFill>
    </fill>
    <fill>
      <patternFill patternType="solid">
        <fgColor rgb="FFC0DFCD"/>
        <bgColor indexed="64"/>
      </patternFill>
    </fill>
    <fill>
      <patternFill patternType="solid">
        <fgColor rgb="FFF7A600"/>
        <bgColor indexed="64"/>
      </patternFill>
    </fill>
    <fill>
      <patternFill patternType="solid">
        <fgColor rgb="FFF7A600"/>
        <bgColor theme="4" tint="0.79998168889431442"/>
      </patternFill>
    </fill>
    <fill>
      <patternFill patternType="solid">
        <fgColor rgb="FFFDE7BD"/>
        <bgColor indexed="64"/>
      </patternFill>
    </fill>
  </fills>
  <borders count="63">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diagonal/>
    </border>
    <border>
      <left style="thin">
        <color auto="1"/>
      </left>
      <right/>
      <top style="thin">
        <color auto="1"/>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bottom/>
      <diagonal/>
    </border>
    <border>
      <left style="medium">
        <color indexed="64"/>
      </left>
      <right/>
      <top style="medium">
        <color indexed="64"/>
      </top>
      <bottom style="thin">
        <color auto="1"/>
      </bottom>
      <diagonal/>
    </border>
    <border>
      <left style="thin">
        <color auto="1"/>
      </left>
      <right/>
      <top style="thin">
        <color auto="1"/>
      </top>
      <bottom style="medium">
        <color indexed="64"/>
      </bottom>
      <diagonal/>
    </border>
    <border>
      <left style="medium">
        <color indexed="64"/>
      </left>
      <right/>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medium">
        <color indexed="64"/>
      </top>
      <bottom style="medium">
        <color indexed="64"/>
      </bottom>
      <diagonal/>
    </border>
    <border>
      <left style="medium">
        <color auto="1"/>
      </left>
      <right style="medium">
        <color auto="1"/>
      </right>
      <top/>
      <bottom/>
      <diagonal/>
    </border>
    <border>
      <left/>
      <right style="thin">
        <color auto="1"/>
      </right>
      <top style="medium">
        <color indexed="64"/>
      </top>
      <bottom style="medium">
        <color indexed="64"/>
      </bottom>
      <diagonal/>
    </border>
    <border>
      <left/>
      <right style="thin">
        <color auto="1"/>
      </right>
      <top/>
      <bottom/>
      <diagonal/>
    </border>
    <border>
      <left style="medium">
        <color indexed="64"/>
      </left>
      <right/>
      <top style="thin">
        <color indexed="64"/>
      </top>
      <bottom style="thin">
        <color indexed="64"/>
      </bottom>
      <diagonal/>
    </border>
    <border>
      <left style="thin">
        <color auto="1"/>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auto="1"/>
      </left>
      <right/>
      <top style="thin">
        <color auto="1"/>
      </top>
      <bottom style="medium">
        <color auto="1"/>
      </bottom>
      <diagonal/>
    </border>
    <border>
      <left/>
      <right/>
      <top/>
      <bottom style="medium">
        <color theme="1"/>
      </bottom>
      <diagonal/>
    </border>
    <border>
      <left style="medium">
        <color indexed="64"/>
      </left>
      <right style="medium">
        <color indexed="64"/>
      </right>
      <top style="thin">
        <color indexed="64"/>
      </top>
      <bottom style="medium">
        <color theme="1"/>
      </bottom>
      <diagonal/>
    </border>
    <border>
      <left/>
      <right style="slantDashDot">
        <color theme="1"/>
      </right>
      <top/>
      <bottom/>
      <diagonal/>
    </border>
    <border>
      <left/>
      <right style="slantDashDot">
        <color theme="1"/>
      </right>
      <top/>
      <bottom style="thin">
        <color indexed="64"/>
      </bottom>
      <diagonal/>
    </border>
    <border>
      <left/>
      <right style="slantDashDot">
        <color theme="1"/>
      </right>
      <top style="thin">
        <color auto="1"/>
      </top>
      <bottom style="medium">
        <color indexed="64"/>
      </bottom>
      <diagonal/>
    </border>
    <border>
      <left/>
      <right style="slantDashDot">
        <color theme="1"/>
      </right>
      <top style="medium">
        <color indexed="64"/>
      </top>
      <bottom/>
      <diagonal/>
    </border>
    <border>
      <left style="medium">
        <color auto="1"/>
      </left>
      <right style="slantDashDot">
        <color theme="1"/>
      </right>
      <top/>
      <bottom/>
      <diagonal/>
    </border>
    <border>
      <left style="medium">
        <color auto="1"/>
      </left>
      <right style="slantDashDot">
        <color theme="1"/>
      </right>
      <top/>
      <bottom style="medium">
        <color auto="1"/>
      </bottom>
      <diagonal/>
    </border>
    <border>
      <left/>
      <right style="slantDashDot">
        <color theme="1"/>
      </right>
      <top/>
      <bottom style="medium">
        <color theme="1"/>
      </bottom>
      <diagonal/>
    </border>
    <border>
      <left/>
      <right/>
      <top/>
      <bottom style="thin">
        <color indexed="64"/>
      </bottom>
      <diagonal/>
    </border>
    <border>
      <left/>
      <right style="dotted">
        <color indexed="64"/>
      </right>
      <top/>
      <bottom style="medium">
        <color indexed="64"/>
      </bottom>
      <diagonal/>
    </border>
    <border>
      <left/>
      <right/>
      <top style="medium">
        <color indexed="64"/>
      </top>
      <bottom style="thin">
        <color auto="1"/>
      </bottom>
      <diagonal/>
    </border>
    <border>
      <left/>
      <right style="slantDashDot">
        <color theme="1"/>
      </right>
      <top/>
      <bottom style="dashed">
        <color indexed="64"/>
      </bottom>
      <diagonal/>
    </border>
    <border>
      <left/>
      <right/>
      <top/>
      <bottom style="dashed">
        <color indexed="64"/>
      </bottom>
      <diagonal/>
    </border>
    <border>
      <left style="thin">
        <color indexed="64"/>
      </left>
      <right/>
      <top/>
      <bottom/>
      <diagonal/>
    </border>
    <border>
      <left style="thin">
        <color indexed="64"/>
      </left>
      <right/>
      <top/>
      <bottom style="medium">
        <color theme="1"/>
      </bottom>
      <diagonal/>
    </border>
    <border>
      <left style="medium">
        <color auto="1"/>
      </left>
      <right style="medium">
        <color auto="1"/>
      </right>
      <top style="medium">
        <color theme="1"/>
      </top>
      <bottom/>
      <diagonal/>
    </border>
  </borders>
  <cellStyleXfs count="3">
    <xf numFmtId="0" fontId="0" fillId="0" borderId="0"/>
    <xf numFmtId="9" fontId="23" fillId="0" borderId="0" applyFont="0" applyFill="0" applyBorder="0" applyAlignment="0" applyProtection="0"/>
    <xf numFmtId="43" fontId="23" fillId="0" borderId="0" applyFont="0" applyFill="0" applyBorder="0" applyAlignment="0" applyProtection="0"/>
  </cellStyleXfs>
  <cellXfs count="248">
    <xf numFmtId="0" fontId="0" fillId="0" borderId="0" xfId="0"/>
    <xf numFmtId="0" fontId="1" fillId="0" borderId="0" xfId="0" applyFont="1"/>
    <xf numFmtId="0" fontId="1" fillId="0" borderId="0" xfId="0" applyFont="1" applyAlignment="1">
      <alignment wrapText="1"/>
    </xf>
    <xf numFmtId="0" fontId="2" fillId="2" borderId="38"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0" fillId="4" borderId="23" xfId="0" applyFill="1" applyBorder="1" applyAlignment="1">
      <alignment vertical="center" wrapText="1"/>
    </xf>
    <xf numFmtId="0" fontId="0" fillId="4" borderId="24" xfId="0" applyFill="1" applyBorder="1" applyAlignment="1">
      <alignment vertical="center" wrapText="1"/>
    </xf>
    <xf numFmtId="0" fontId="0" fillId="4" borderId="1" xfId="0" applyFill="1" applyBorder="1" applyAlignment="1">
      <alignment vertical="center" wrapText="1"/>
    </xf>
    <xf numFmtId="0" fontId="0" fillId="4" borderId="9" xfId="0" applyFill="1" applyBorder="1" applyAlignment="1">
      <alignment vertical="center" wrapText="1"/>
    </xf>
    <xf numFmtId="0" fontId="0" fillId="4" borderId="15" xfId="0" applyFill="1" applyBorder="1" applyAlignment="1">
      <alignment vertical="center" wrapText="1"/>
    </xf>
    <xf numFmtId="0" fontId="0" fillId="4" borderId="32" xfId="0" applyFill="1" applyBorder="1" applyAlignment="1">
      <alignment vertical="center" wrapText="1"/>
    </xf>
    <xf numFmtId="0" fontId="0" fillId="4" borderId="19" xfId="0" applyFill="1" applyBorder="1" applyAlignment="1">
      <alignment vertical="center" wrapText="1"/>
    </xf>
    <xf numFmtId="0" fontId="0" fillId="4" borderId="34" xfId="0" applyFill="1" applyBorder="1" applyAlignment="1">
      <alignment vertical="center" wrapText="1"/>
    </xf>
    <xf numFmtId="0" fontId="0" fillId="4" borderId="35" xfId="0" applyFill="1" applyBorder="1" applyAlignment="1">
      <alignment vertical="center" wrapText="1"/>
    </xf>
    <xf numFmtId="0" fontId="0" fillId="0" borderId="25" xfId="0" applyBorder="1" applyAlignment="1">
      <alignment horizontal="center" vertical="center" wrapText="1"/>
    </xf>
    <xf numFmtId="0" fontId="0" fillId="0" borderId="23" xfId="0" applyBorder="1" applyAlignment="1">
      <alignment horizontal="center" vertical="center" wrapText="1"/>
    </xf>
    <xf numFmtId="0" fontId="0" fillId="0" borderId="26" xfId="0" applyBorder="1" applyAlignment="1">
      <alignment horizontal="center" vertical="center" wrapText="1"/>
    </xf>
    <xf numFmtId="0" fontId="0" fillId="0" borderId="11" xfId="0" applyBorder="1" applyAlignment="1">
      <alignment horizontal="center" vertical="center" wrapText="1"/>
    </xf>
    <xf numFmtId="0" fontId="0" fillId="0" borderId="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2" fillId="2" borderId="40"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41" xfId="0" applyBorder="1" applyAlignment="1">
      <alignment horizontal="center" vertical="center" wrapText="1"/>
    </xf>
    <xf numFmtId="0" fontId="17" fillId="0" borderId="0" xfId="0" applyFont="1"/>
    <xf numFmtId="0" fontId="14" fillId="0" borderId="0" xfId="0" applyFont="1" applyAlignment="1">
      <alignment horizontal="center" vertical="center" wrapText="1"/>
    </xf>
    <xf numFmtId="0" fontId="0" fillId="0" borderId="0" xfId="0" applyAlignment="1">
      <alignment wrapText="1"/>
    </xf>
    <xf numFmtId="0" fontId="3" fillId="0" borderId="4" xfId="0" applyFont="1" applyBorder="1" applyAlignment="1">
      <alignment horizontal="center" vertical="center" wrapText="1"/>
    </xf>
    <xf numFmtId="0" fontId="7" fillId="0" borderId="0" xfId="0" applyFont="1" applyAlignment="1">
      <alignment vertical="center" wrapText="1"/>
    </xf>
    <xf numFmtId="0" fontId="0" fillId="0" borderId="0" xfId="0" applyAlignment="1">
      <alignment vertical="center" wrapText="1"/>
    </xf>
    <xf numFmtId="0" fontId="0" fillId="0" borderId="0" xfId="0" applyAlignment="1">
      <alignment horizontal="center" wrapText="1"/>
    </xf>
    <xf numFmtId="0" fontId="0" fillId="0" borderId="0" xfId="0" applyAlignment="1">
      <alignment horizontal="center" vertical="center" wrapText="1"/>
    </xf>
    <xf numFmtId="0" fontId="0" fillId="0" borderId="0" xfId="0" applyAlignment="1">
      <alignment horizontal="left" wrapText="1"/>
    </xf>
    <xf numFmtId="0" fontId="0" fillId="0" borderId="0" xfId="0" applyAlignment="1">
      <alignment horizontal="left" vertical="center" wrapText="1"/>
    </xf>
    <xf numFmtId="0" fontId="11" fillId="0" borderId="20" xfId="0" applyFont="1" applyBorder="1" applyAlignment="1">
      <alignment vertical="center" wrapText="1"/>
    </xf>
    <xf numFmtId="9" fontId="0" fillId="0" borderId="0" xfId="0" applyNumberFormat="1" applyAlignment="1">
      <alignment horizontal="center"/>
    </xf>
    <xf numFmtId="0" fontId="0" fillId="0" borderId="0" xfId="0" applyAlignment="1">
      <alignment horizontal="center"/>
    </xf>
    <xf numFmtId="0" fontId="0" fillId="0" borderId="0" xfId="0" quotePrefix="1" applyAlignment="1">
      <alignment horizontal="center"/>
    </xf>
    <xf numFmtId="0" fontId="0" fillId="0" borderId="0" xfId="0" applyAlignment="1">
      <alignment horizontal="right"/>
    </xf>
    <xf numFmtId="0" fontId="0" fillId="0" borderId="0" xfId="0" applyAlignment="1">
      <alignment horizontal="center" vertical="center" textRotation="90" wrapText="1"/>
    </xf>
    <xf numFmtId="9" fontId="0" fillId="0" borderId="0" xfId="1" applyFont="1"/>
    <xf numFmtId="0" fontId="0" fillId="0" borderId="0" xfId="0" applyAlignment="1">
      <alignment horizontal="left"/>
    </xf>
    <xf numFmtId="0" fontId="2" fillId="2" borderId="0" xfId="0" applyFont="1" applyFill="1" applyAlignment="1">
      <alignment wrapText="1"/>
    </xf>
    <xf numFmtId="0" fontId="0" fillId="0" borderId="0" xfId="0" applyAlignment="1">
      <alignment vertical="top" wrapText="1"/>
    </xf>
    <xf numFmtId="0" fontId="3" fillId="0" borderId="2" xfId="0" applyFont="1" applyBorder="1" applyAlignment="1">
      <alignment horizontal="center" vertical="center" wrapText="1"/>
    </xf>
    <xf numFmtId="0" fontId="27" fillId="0" borderId="0" xfId="0" applyFont="1"/>
    <xf numFmtId="0" fontId="0" fillId="0" borderId="48" xfId="0" applyBorder="1" applyAlignment="1">
      <alignment vertical="top" wrapText="1"/>
    </xf>
    <xf numFmtId="0" fontId="0" fillId="0" borderId="48" xfId="0" applyBorder="1"/>
    <xf numFmtId="9" fontId="0" fillId="0" borderId="48" xfId="1" applyFont="1" applyBorder="1" applyAlignment="1">
      <alignment horizontal="center"/>
    </xf>
    <xf numFmtId="0" fontId="1" fillId="0" borderId="0" xfId="0" applyFont="1" applyAlignment="1">
      <alignment horizontal="left" vertical="top" wrapText="1"/>
    </xf>
    <xf numFmtId="9" fontId="17" fillId="0" borderId="0" xfId="1" applyFont="1" applyFill="1" applyBorder="1" applyAlignment="1" applyProtection="1">
      <alignment horizontal="left"/>
    </xf>
    <xf numFmtId="0" fontId="29" fillId="0" borderId="0" xfId="0" applyFont="1" applyAlignment="1">
      <alignment vertical="top"/>
    </xf>
    <xf numFmtId="0" fontId="17" fillId="0" borderId="0" xfId="0" applyFont="1" applyAlignment="1">
      <alignment wrapText="1"/>
    </xf>
    <xf numFmtId="0" fontId="5" fillId="0" borderId="0" xfId="0" applyFont="1" applyAlignment="1">
      <alignment vertical="center" wrapText="1"/>
    </xf>
    <xf numFmtId="0" fontId="28" fillId="0" borderId="0" xfId="0" applyFont="1" applyAlignment="1">
      <alignment horizontal="left" vertical="center" wrapText="1"/>
    </xf>
    <xf numFmtId="0" fontId="5" fillId="0" borderId="0" xfId="0" applyFont="1" applyAlignment="1">
      <alignment horizontal="center" vertical="center" wrapText="1"/>
    </xf>
    <xf numFmtId="0" fontId="3" fillId="0" borderId="0" xfId="0" applyFont="1" applyAlignment="1">
      <alignment vertical="top" wrapText="1"/>
    </xf>
    <xf numFmtId="0" fontId="5" fillId="6" borderId="2"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10" borderId="2" xfId="0" applyFont="1" applyFill="1" applyBorder="1" applyAlignment="1">
      <alignment horizontal="left" vertical="center"/>
    </xf>
    <xf numFmtId="0" fontId="17" fillId="0" borderId="0" xfId="0" applyFont="1" applyAlignment="1">
      <alignment horizontal="left" vertical="top"/>
    </xf>
    <xf numFmtId="9" fontId="1" fillId="0" borderId="0" xfId="1" applyFont="1" applyFill="1" applyBorder="1" applyAlignment="1" applyProtection="1">
      <alignment horizontal="center"/>
    </xf>
    <xf numFmtId="9" fontId="1" fillId="9" borderId="19" xfId="1" applyFont="1" applyFill="1" applyBorder="1" applyAlignment="1" applyProtection="1">
      <alignment horizontal="center"/>
    </xf>
    <xf numFmtId="0" fontId="2" fillId="0" borderId="0" xfId="0" applyFont="1" applyAlignment="1">
      <alignment vertical="center" wrapText="1"/>
    </xf>
    <xf numFmtId="0" fontId="4" fillId="0" borderId="0" xfId="0" applyFont="1" applyAlignment="1">
      <alignment vertical="center" wrapText="1"/>
    </xf>
    <xf numFmtId="9" fontId="1" fillId="9" borderId="34" xfId="1" applyFont="1" applyFill="1" applyBorder="1" applyAlignment="1" applyProtection="1">
      <alignment horizontal="center"/>
    </xf>
    <xf numFmtId="0" fontId="17" fillId="0" borderId="0" xfId="0" applyFont="1" applyAlignment="1">
      <alignment vertical="center" wrapText="1"/>
    </xf>
    <xf numFmtId="0" fontId="1" fillId="0" borderId="0" xfId="0" applyFont="1" applyAlignment="1">
      <alignment vertical="center" wrapText="1"/>
    </xf>
    <xf numFmtId="9" fontId="1" fillId="9" borderId="35" xfId="1" applyFont="1" applyFill="1" applyBorder="1" applyAlignment="1" applyProtection="1">
      <alignment horizontal="center"/>
    </xf>
    <xf numFmtId="0" fontId="14" fillId="9" borderId="0" xfId="0" applyFont="1" applyFill="1" applyAlignment="1">
      <alignment vertical="center" wrapText="1"/>
    </xf>
    <xf numFmtId="0" fontId="14" fillId="5" borderId="7" xfId="0" applyFont="1" applyFill="1" applyBorder="1" applyAlignment="1">
      <alignment vertical="center" wrapText="1"/>
    </xf>
    <xf numFmtId="0" fontId="9" fillId="0" borderId="36" xfId="0" applyFont="1" applyBorder="1" applyAlignment="1">
      <alignment vertical="center" wrapText="1"/>
    </xf>
    <xf numFmtId="0" fontId="21" fillId="0" borderId="0" xfId="0" applyFont="1" applyAlignment="1">
      <alignment wrapText="1"/>
    </xf>
    <xf numFmtId="0" fontId="1" fillId="12" borderId="25" xfId="0" applyFont="1" applyFill="1" applyBorder="1" applyAlignment="1">
      <alignment horizontal="center" vertical="center" wrapText="1"/>
    </xf>
    <xf numFmtId="0" fontId="10" fillId="12" borderId="23" xfId="0" applyFont="1" applyFill="1" applyBorder="1" applyAlignment="1">
      <alignment horizontal="left" vertical="center" wrapText="1" indent="1"/>
    </xf>
    <xf numFmtId="0" fontId="1" fillId="12" borderId="1" xfId="0" applyFont="1" applyFill="1" applyBorder="1" applyAlignment="1">
      <alignment horizontal="left" vertical="center" wrapText="1" indent="1"/>
    </xf>
    <xf numFmtId="0" fontId="1" fillId="12" borderId="23" xfId="0" applyFont="1" applyFill="1" applyBorder="1" applyAlignment="1">
      <alignment horizontal="left" vertical="center" wrapText="1" indent="1"/>
    </xf>
    <xf numFmtId="0" fontId="1" fillId="0" borderId="0" xfId="0" applyFont="1" applyAlignment="1">
      <alignment horizontal="center" vertical="top" wrapText="1"/>
    </xf>
    <xf numFmtId="0" fontId="17" fillId="0" borderId="0" xfId="0" applyFont="1" applyAlignment="1">
      <alignment horizontal="left" vertical="top" wrapText="1"/>
    </xf>
    <xf numFmtId="0" fontId="8" fillId="0" borderId="31"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8" fillId="13" borderId="31" xfId="0" applyFont="1" applyFill="1" applyBorder="1" applyAlignment="1" applyProtection="1">
      <alignment horizontal="center" vertical="center" wrapText="1"/>
      <protection locked="0"/>
    </xf>
    <xf numFmtId="0" fontId="8" fillId="13" borderId="10" xfId="0" applyFont="1" applyFill="1" applyBorder="1" applyAlignment="1" applyProtection="1">
      <alignment horizontal="center" vertical="center" wrapText="1"/>
      <protection locked="0"/>
    </xf>
    <xf numFmtId="0" fontId="8" fillId="14" borderId="31" xfId="0" applyFont="1" applyFill="1" applyBorder="1" applyAlignment="1" applyProtection="1">
      <alignment horizontal="center" vertical="center" wrapText="1"/>
      <protection locked="0"/>
    </xf>
    <xf numFmtId="0" fontId="8" fillId="14" borderId="10" xfId="0" applyFont="1" applyFill="1" applyBorder="1" applyAlignment="1" applyProtection="1">
      <alignment horizontal="center" vertical="center" wrapText="1"/>
      <protection locked="0"/>
    </xf>
    <xf numFmtId="0" fontId="8" fillId="15" borderId="31" xfId="0" applyFont="1" applyFill="1" applyBorder="1" applyAlignment="1" applyProtection="1">
      <alignment horizontal="center" vertical="center" wrapText="1"/>
      <protection locked="0"/>
    </xf>
    <xf numFmtId="0" fontId="8" fillId="15" borderId="10" xfId="0" applyFont="1" applyFill="1" applyBorder="1" applyAlignment="1" applyProtection="1">
      <alignment horizontal="center" vertical="center" wrapText="1"/>
      <protection locked="0"/>
    </xf>
    <xf numFmtId="0" fontId="8" fillId="16" borderId="31" xfId="0" applyFont="1" applyFill="1" applyBorder="1" applyAlignment="1" applyProtection="1">
      <alignment horizontal="center" vertical="center" wrapText="1"/>
      <protection locked="0"/>
    </xf>
    <xf numFmtId="0" fontId="8" fillId="16" borderId="10" xfId="0" applyFont="1" applyFill="1" applyBorder="1" applyAlignment="1" applyProtection="1">
      <alignment horizontal="center" vertical="center" wrapText="1"/>
      <protection locked="0"/>
    </xf>
    <xf numFmtId="0" fontId="0" fillId="9" borderId="0" xfId="0" applyFill="1"/>
    <xf numFmtId="0" fontId="0" fillId="9" borderId="51" xfId="0" applyFill="1" applyBorder="1"/>
    <xf numFmtId="0" fontId="0" fillId="9" borderId="48" xfId="0" applyFill="1" applyBorder="1"/>
    <xf numFmtId="0" fontId="14" fillId="0" borderId="0" xfId="0" applyFont="1" applyAlignment="1">
      <alignment vertical="center"/>
    </xf>
    <xf numFmtId="0" fontId="14" fillId="0" borderId="2" xfId="0" applyFont="1" applyBorder="1" applyAlignment="1">
      <alignment horizontal="center" vertical="center"/>
    </xf>
    <xf numFmtId="9" fontId="12" fillId="9" borderId="19" xfId="1" applyFont="1" applyFill="1" applyBorder="1" applyAlignment="1" applyProtection="1">
      <alignment horizontal="center" vertical="center"/>
      <protection locked="0"/>
    </xf>
    <xf numFmtId="9" fontId="12" fillId="0" borderId="55" xfId="1" applyFont="1" applyFill="1" applyBorder="1" applyAlignment="1" applyProtection="1">
      <alignment horizontal="center" vertical="center"/>
      <protection locked="0"/>
    </xf>
    <xf numFmtId="9" fontId="12" fillId="9" borderId="34" xfId="1" applyFont="1" applyFill="1" applyBorder="1" applyAlignment="1" applyProtection="1">
      <alignment horizontal="center" vertical="center"/>
      <protection locked="0"/>
    </xf>
    <xf numFmtId="9" fontId="12" fillId="9" borderId="35" xfId="1" applyFont="1" applyFill="1" applyBorder="1" applyAlignment="1" applyProtection="1">
      <alignment horizontal="center" vertical="center"/>
      <protection locked="0"/>
    </xf>
    <xf numFmtId="9" fontId="12" fillId="0" borderId="36" xfId="1" applyFont="1" applyFill="1" applyBorder="1" applyAlignment="1" applyProtection="1">
      <alignment horizontal="center" vertical="center"/>
      <protection locked="0"/>
    </xf>
    <xf numFmtId="9" fontId="12" fillId="8" borderId="49" xfId="0" applyNumberFormat="1" applyFont="1" applyFill="1" applyBorder="1" applyAlignment="1">
      <alignment horizontal="center" vertical="center"/>
    </xf>
    <xf numFmtId="9" fontId="12" fillId="8" borderId="50" xfId="1" applyFont="1" applyFill="1" applyBorder="1" applyAlignment="1">
      <alignment horizontal="center" vertical="center"/>
    </xf>
    <xf numFmtId="9" fontId="4" fillId="3" borderId="19" xfId="1" applyFont="1" applyFill="1" applyBorder="1" applyAlignment="1">
      <alignment horizontal="center" vertical="center"/>
    </xf>
    <xf numFmtId="9" fontId="4" fillId="3" borderId="47" xfId="1" applyFont="1" applyFill="1" applyBorder="1" applyAlignment="1">
      <alignment horizontal="center" vertical="center"/>
    </xf>
    <xf numFmtId="0" fontId="6" fillId="17" borderId="2" xfId="0" applyFont="1" applyFill="1" applyBorder="1" applyAlignment="1">
      <alignment horizontal="center" vertical="center" wrapText="1"/>
    </xf>
    <xf numFmtId="0" fontId="34" fillId="0" borderId="0" xfId="0" applyFont="1"/>
    <xf numFmtId="0" fontId="20" fillId="9" borderId="0" xfId="0" applyFont="1" applyFill="1" applyAlignment="1">
      <alignment horizontal="center"/>
    </xf>
    <xf numFmtId="0" fontId="0" fillId="9" borderId="0" xfId="0" applyFill="1" applyAlignment="1">
      <alignment horizontal="left" vertical="top" wrapText="1"/>
    </xf>
    <xf numFmtId="0" fontId="0" fillId="9" borderId="0" xfId="0" applyFill="1" applyAlignment="1">
      <alignment horizontal="left" vertical="top"/>
    </xf>
    <xf numFmtId="0" fontId="20" fillId="0" borderId="0" xfId="0" applyFont="1" applyAlignment="1">
      <alignment horizontal="center"/>
    </xf>
    <xf numFmtId="0" fontId="29" fillId="9" borderId="0" xfId="0" applyFont="1" applyFill="1" applyAlignment="1">
      <alignment horizontal="center" vertical="center"/>
    </xf>
    <xf numFmtId="0" fontId="34" fillId="9" borderId="0" xfId="0" applyFont="1" applyFill="1" applyAlignment="1">
      <alignment horizontal="left" vertical="top" wrapText="1"/>
    </xf>
    <xf numFmtId="0" fontId="28" fillId="11" borderId="36" xfId="0" applyFont="1" applyFill="1" applyBorder="1" applyAlignment="1">
      <alignment horizontal="center" vertical="center" wrapText="1"/>
    </xf>
    <xf numFmtId="0" fontId="28" fillId="11" borderId="56" xfId="0" applyFont="1" applyFill="1" applyBorder="1" applyAlignment="1">
      <alignment horizontal="center" vertical="center" wrapText="1"/>
    </xf>
    <xf numFmtId="0" fontId="28" fillId="11" borderId="0" xfId="0" applyFont="1" applyFill="1" applyAlignment="1">
      <alignment horizontal="center" vertical="center" wrapText="1"/>
    </xf>
    <xf numFmtId="0" fontId="5" fillId="9" borderId="36" xfId="0" applyFont="1" applyFill="1" applyBorder="1" applyAlignment="1">
      <alignment horizontal="center" vertical="center" wrapText="1"/>
    </xf>
    <xf numFmtId="0" fontId="5" fillId="9" borderId="0" xfId="0" applyFont="1" applyFill="1" applyAlignment="1">
      <alignment horizontal="center" vertical="center" wrapText="1"/>
    </xf>
    <xf numFmtId="0" fontId="30" fillId="9" borderId="36" xfId="0" applyFont="1" applyFill="1" applyBorder="1" applyAlignment="1" applyProtection="1">
      <alignment horizontal="center" vertical="center" wrapText="1"/>
      <protection locked="0"/>
    </xf>
    <xf numFmtId="0" fontId="30" fillId="9" borderId="37" xfId="0" applyFont="1" applyFill="1" applyBorder="1" applyAlignment="1" applyProtection="1">
      <alignment horizontal="center" vertical="center" wrapText="1"/>
      <protection locked="0"/>
    </xf>
    <xf numFmtId="0" fontId="30" fillId="9" borderId="0" xfId="0" applyFont="1" applyFill="1" applyAlignment="1" applyProtection="1">
      <alignment horizontal="center" vertical="center" wrapText="1"/>
      <protection locked="0"/>
    </xf>
    <xf numFmtId="0" fontId="30" fillId="9" borderId="8" xfId="0" applyFont="1" applyFill="1" applyBorder="1" applyAlignment="1" applyProtection="1">
      <alignment horizontal="center" vertical="center" wrapText="1"/>
      <protection locked="0"/>
    </xf>
    <xf numFmtId="0" fontId="8" fillId="9" borderId="0" xfId="0" applyFont="1" applyFill="1" applyAlignment="1">
      <alignment horizontal="left" vertical="center" wrapText="1" indent="5"/>
    </xf>
    <xf numFmtId="0" fontId="5" fillId="9" borderId="21" xfId="0" applyFont="1" applyFill="1" applyBorder="1" applyAlignment="1">
      <alignment horizontal="center" vertical="center" wrapText="1"/>
    </xf>
    <xf numFmtId="0" fontId="5" fillId="9" borderId="7" xfId="0" applyFont="1" applyFill="1" applyBorder="1" applyAlignment="1">
      <alignment horizontal="center" vertical="center" wrapText="1"/>
    </xf>
    <xf numFmtId="0" fontId="5" fillId="9" borderId="20" xfId="0" applyFont="1" applyFill="1" applyBorder="1" applyAlignment="1">
      <alignment horizontal="center" vertical="center" wrapText="1"/>
    </xf>
    <xf numFmtId="0" fontId="5" fillId="9" borderId="33" xfId="0" applyFont="1" applyFill="1" applyBorder="1" applyAlignment="1">
      <alignment horizontal="center" vertical="center" wrapText="1"/>
    </xf>
    <xf numFmtId="0" fontId="12" fillId="9" borderId="7" xfId="0" applyFont="1" applyFill="1" applyBorder="1" applyAlignment="1" applyProtection="1">
      <alignment horizontal="left" vertical="center" wrapText="1"/>
      <protection locked="0"/>
    </xf>
    <xf numFmtId="0" fontId="12" fillId="9" borderId="22" xfId="0" applyFont="1" applyFill="1" applyBorder="1" applyAlignment="1" applyProtection="1">
      <alignment horizontal="left" vertical="center" wrapText="1"/>
      <protection locked="0"/>
    </xf>
    <xf numFmtId="0" fontId="12" fillId="9" borderId="0" xfId="0" applyFont="1" applyFill="1" applyAlignment="1" applyProtection="1">
      <alignment horizontal="left" vertical="center" wrapText="1"/>
      <protection locked="0"/>
    </xf>
    <xf numFmtId="0" fontId="12" fillId="9" borderId="8" xfId="0" applyFont="1" applyFill="1" applyBorder="1" applyAlignment="1" applyProtection="1">
      <alignment horizontal="left" vertical="center" wrapText="1"/>
      <protection locked="0"/>
    </xf>
    <xf numFmtId="0" fontId="12" fillId="9" borderId="36" xfId="0" applyFont="1" applyFill="1" applyBorder="1" applyAlignment="1" applyProtection="1">
      <alignment horizontal="left" vertical="center" wrapText="1"/>
      <protection locked="0"/>
    </xf>
    <xf numFmtId="0" fontId="12" fillId="9" borderId="37" xfId="0" applyFont="1" applyFill="1" applyBorder="1" applyAlignment="1" applyProtection="1">
      <alignment horizontal="left" vertical="center" wrapText="1"/>
      <protection locked="0"/>
    </xf>
    <xf numFmtId="0" fontId="12" fillId="9" borderId="0" xfId="0" applyFont="1" applyFill="1" applyAlignment="1">
      <alignment horizontal="center" vertical="center" wrapText="1"/>
    </xf>
    <xf numFmtId="0" fontId="4" fillId="0" borderId="0" xfId="0" applyFont="1" applyAlignment="1">
      <alignment horizontal="center" vertical="center" wrapText="1"/>
    </xf>
    <xf numFmtId="0" fontId="18" fillId="0" borderId="0" xfId="0" applyFont="1" applyAlignment="1">
      <alignment horizontal="left" vertical="top" wrapText="1"/>
    </xf>
    <xf numFmtId="0" fontId="12" fillId="9" borderId="48" xfId="0" applyFont="1" applyFill="1" applyBorder="1" applyAlignment="1">
      <alignment horizontal="center" vertical="center" wrapText="1"/>
    </xf>
    <xf numFmtId="0" fontId="12" fillId="9" borderId="59" xfId="0" applyFont="1" applyFill="1" applyBorder="1" applyAlignment="1">
      <alignment horizontal="center" vertical="center" wrapText="1"/>
    </xf>
    <xf numFmtId="0" fontId="12" fillId="9" borderId="58" xfId="0" applyFont="1" applyFill="1" applyBorder="1" applyAlignment="1">
      <alignment horizontal="center" vertical="center" wrapText="1"/>
    </xf>
    <xf numFmtId="0" fontId="13" fillId="9" borderId="0" xfId="0" applyFont="1" applyFill="1" applyAlignment="1">
      <alignment horizontal="center"/>
    </xf>
    <xf numFmtId="0" fontId="13" fillId="9" borderId="48" xfId="0" applyFont="1" applyFill="1" applyBorder="1" applyAlignment="1">
      <alignment horizont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11" fillId="8" borderId="52" xfId="0" applyFont="1" applyFill="1" applyBorder="1" applyAlignment="1">
      <alignment horizontal="center" vertical="center" textRotation="90" wrapText="1"/>
    </xf>
    <xf numFmtId="0" fontId="11" fillId="8" borderId="53" xfId="0" applyFont="1" applyFill="1" applyBorder="1" applyAlignment="1">
      <alignment horizontal="center" vertical="center" textRotation="90" wrapText="1"/>
    </xf>
    <xf numFmtId="0" fontId="15" fillId="17" borderId="20" xfId="0" applyFont="1" applyFill="1" applyBorder="1" applyAlignment="1">
      <alignment horizontal="center" vertical="center" textRotation="90" wrapText="1"/>
    </xf>
    <xf numFmtId="0" fontId="15" fillId="17" borderId="8" xfId="0" applyFont="1" applyFill="1" applyBorder="1" applyAlignment="1">
      <alignment horizontal="center" vertical="center" textRotation="90" wrapText="1"/>
    </xf>
    <xf numFmtId="0" fontId="15" fillId="17" borderId="33" xfId="0" applyFont="1" applyFill="1" applyBorder="1" applyAlignment="1">
      <alignment horizontal="center" vertical="center" textRotation="90" wrapText="1"/>
    </xf>
    <xf numFmtId="0" fontId="15" fillId="17" borderId="37" xfId="0" applyFont="1" applyFill="1" applyBorder="1" applyAlignment="1">
      <alignment horizontal="center" vertical="center" textRotation="90" wrapText="1"/>
    </xf>
    <xf numFmtId="0" fontId="11" fillId="3" borderId="62" xfId="0" applyFont="1" applyFill="1" applyBorder="1" applyAlignment="1">
      <alignment horizontal="center" vertical="center" textRotation="90" wrapText="1"/>
    </xf>
    <xf numFmtId="0" fontId="11" fillId="3" borderId="39" xfId="0" applyFont="1" applyFill="1" applyBorder="1" applyAlignment="1">
      <alignment horizontal="center" vertical="center" textRotation="90" wrapText="1"/>
    </xf>
    <xf numFmtId="0" fontId="11" fillId="3" borderId="3" xfId="0" applyFont="1" applyFill="1" applyBorder="1" applyAlignment="1">
      <alignment horizontal="center" vertical="center" textRotation="90" wrapText="1"/>
    </xf>
    <xf numFmtId="0" fontId="4" fillId="0" borderId="0" xfId="0" applyFont="1" applyAlignment="1">
      <alignment horizontal="center"/>
    </xf>
    <xf numFmtId="0" fontId="1" fillId="0" borderId="0" xfId="0" applyFont="1" applyAlignment="1">
      <alignment horizontal="left" vertical="top" wrapText="1"/>
    </xf>
    <xf numFmtId="0" fontId="11" fillId="0" borderId="0" xfId="0" applyFont="1" applyAlignment="1">
      <alignment horizontal="left" vertical="center" wrapText="1" indent="1"/>
    </xf>
    <xf numFmtId="0" fontId="4" fillId="9" borderId="0" xfId="0" applyFont="1" applyFill="1" applyAlignment="1">
      <alignment horizontal="center" vertical="center" wrapText="1"/>
    </xf>
    <xf numFmtId="0" fontId="0" fillId="9" borderId="48" xfId="0" applyFill="1" applyBorder="1" applyAlignment="1">
      <alignment horizontal="center" vertical="center" textRotation="90" wrapText="1"/>
    </xf>
    <xf numFmtId="0" fontId="14" fillId="9" borderId="60" xfId="0" applyFont="1" applyFill="1" applyBorder="1" applyAlignment="1">
      <alignment horizontal="center" vertical="center" wrapText="1"/>
    </xf>
    <xf numFmtId="0" fontId="14" fillId="9" borderId="0" xfId="0" applyFont="1" applyFill="1" applyAlignment="1">
      <alignment horizontal="center" vertical="center" wrapText="1"/>
    </xf>
    <xf numFmtId="0" fontId="14" fillId="9" borderId="48" xfId="0" applyFont="1" applyFill="1" applyBorder="1" applyAlignment="1">
      <alignment horizontal="center" vertical="center" wrapText="1"/>
    </xf>
    <xf numFmtId="0" fontId="14" fillId="9" borderId="61" xfId="0" applyFont="1" applyFill="1" applyBorder="1" applyAlignment="1">
      <alignment horizontal="center" vertical="center" wrapText="1"/>
    </xf>
    <xf numFmtId="0" fontId="14" fillId="9" borderId="46" xfId="0" applyFont="1" applyFill="1" applyBorder="1" applyAlignment="1">
      <alignment horizontal="center" vertical="center" wrapText="1"/>
    </xf>
    <xf numFmtId="0" fontId="14" fillId="9" borderId="54" xfId="0" applyFont="1" applyFill="1" applyBorder="1" applyAlignment="1">
      <alignment horizontal="center" vertical="center" wrapText="1"/>
    </xf>
    <xf numFmtId="0" fontId="3" fillId="9" borderId="21"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51" xfId="0" applyFont="1" applyFill="1" applyBorder="1" applyAlignment="1">
      <alignment horizontal="center" vertical="center" wrapText="1"/>
    </xf>
    <xf numFmtId="0" fontId="6" fillId="9" borderId="0" xfId="0" applyFont="1" applyFill="1" applyAlignment="1">
      <alignment horizontal="center" vertical="center" wrapText="1"/>
    </xf>
    <xf numFmtId="0" fontId="26" fillId="9" borderId="48" xfId="0" applyFont="1" applyFill="1" applyBorder="1" applyAlignment="1">
      <alignment horizontal="center" vertical="center" textRotation="90" wrapText="1"/>
    </xf>
    <xf numFmtId="0" fontId="0" fillId="0" borderId="0" xfId="0" applyAlignment="1">
      <alignment horizontal="center"/>
    </xf>
    <xf numFmtId="0" fontId="15" fillId="18" borderId="16" xfId="0" applyFont="1" applyFill="1" applyBorder="1" applyAlignment="1">
      <alignment horizontal="center" vertical="center" wrapText="1"/>
    </xf>
    <xf numFmtId="0" fontId="15" fillId="19" borderId="17" xfId="0" applyFont="1" applyFill="1" applyBorder="1" applyAlignment="1">
      <alignment horizontal="center" vertical="center" wrapText="1"/>
    </xf>
    <xf numFmtId="0" fontId="15" fillId="20" borderId="17" xfId="0" applyFont="1" applyFill="1" applyBorder="1" applyAlignment="1">
      <alignment horizontal="center" vertical="center" wrapText="1"/>
    </xf>
    <xf numFmtId="0" fontId="15" fillId="21" borderId="17" xfId="0" applyFont="1" applyFill="1" applyBorder="1" applyAlignment="1">
      <alignment horizontal="center" vertical="center" wrapText="1"/>
    </xf>
    <xf numFmtId="0" fontId="15" fillId="22" borderId="18" xfId="0" applyFont="1" applyFill="1" applyBorder="1" applyAlignment="1">
      <alignment horizontal="center" vertical="center" wrapText="1"/>
    </xf>
    <xf numFmtId="0" fontId="22" fillId="24" borderId="4" xfId="0" applyFont="1" applyFill="1" applyBorder="1" applyAlignment="1">
      <alignment horizontal="center" vertical="center" wrapText="1"/>
    </xf>
    <xf numFmtId="0" fontId="22" fillId="24" borderId="5" xfId="0" applyFont="1" applyFill="1" applyBorder="1" applyAlignment="1">
      <alignment horizontal="center" vertical="center" wrapText="1"/>
    </xf>
    <xf numFmtId="0" fontId="8" fillId="24" borderId="28" xfId="0" applyFont="1" applyFill="1" applyBorder="1" applyAlignment="1">
      <alignment horizontal="center" vertical="center" wrapText="1"/>
    </xf>
    <xf numFmtId="0" fontId="8" fillId="24" borderId="29" xfId="0" applyFont="1" applyFill="1" applyBorder="1" applyAlignment="1">
      <alignment horizontal="center" vertical="center" wrapText="1"/>
    </xf>
    <xf numFmtId="0" fontId="16" fillId="25" borderId="30" xfId="0" applyFont="1" applyFill="1" applyBorder="1" applyAlignment="1">
      <alignment horizontal="center" vertical="center" wrapText="1"/>
    </xf>
    <xf numFmtId="0" fontId="1" fillId="24" borderId="0" xfId="0" applyFont="1" applyFill="1" applyAlignment="1">
      <alignment wrapText="1"/>
    </xf>
    <xf numFmtId="0" fontId="1" fillId="23" borderId="25" xfId="0" applyFont="1" applyFill="1" applyBorder="1" applyAlignment="1">
      <alignment horizontal="center" vertical="center" wrapText="1"/>
    </xf>
    <xf numFmtId="0" fontId="10" fillId="23" borderId="23" xfId="0" applyFont="1" applyFill="1" applyBorder="1" applyAlignment="1">
      <alignment horizontal="left" vertical="center" wrapText="1" indent="1"/>
    </xf>
    <xf numFmtId="0" fontId="1" fillId="23" borderId="1" xfId="0" applyFont="1" applyFill="1" applyBorder="1" applyAlignment="1">
      <alignment horizontal="left" vertical="center" wrapText="1" indent="1"/>
    </xf>
    <xf numFmtId="164" fontId="19" fillId="24" borderId="2" xfId="2" applyNumberFormat="1" applyFont="1" applyFill="1" applyBorder="1" applyAlignment="1" applyProtection="1">
      <alignment horizontal="center" vertical="center" wrapText="1"/>
    </xf>
    <xf numFmtId="9" fontId="19" fillId="24" borderId="6" xfId="1" applyFont="1" applyFill="1" applyBorder="1" applyAlignment="1" applyProtection="1">
      <alignment horizontal="center" vertical="center" wrapText="1"/>
    </xf>
    <xf numFmtId="0" fontId="22" fillId="26" borderId="4" xfId="0" applyFont="1" applyFill="1" applyBorder="1" applyAlignment="1">
      <alignment horizontal="center" vertical="center" wrapText="1"/>
    </xf>
    <xf numFmtId="0" fontId="22" fillId="26" borderId="5" xfId="0" applyFont="1" applyFill="1" applyBorder="1" applyAlignment="1">
      <alignment horizontal="center" vertical="center" wrapText="1"/>
    </xf>
    <xf numFmtId="0" fontId="8" fillId="26" borderId="28" xfId="0" applyFont="1" applyFill="1" applyBorder="1" applyAlignment="1">
      <alignment horizontal="center" vertical="center" wrapText="1"/>
    </xf>
    <xf numFmtId="0" fontId="8" fillId="26" borderId="29" xfId="0" applyFont="1" applyFill="1" applyBorder="1" applyAlignment="1">
      <alignment horizontal="center" vertical="center" wrapText="1"/>
    </xf>
    <xf numFmtId="0" fontId="16" fillId="27" borderId="30" xfId="0" applyFont="1" applyFill="1" applyBorder="1" applyAlignment="1">
      <alignment horizontal="center" vertical="center" wrapText="1"/>
    </xf>
    <xf numFmtId="0" fontId="1" fillId="26" borderId="0" xfId="0" applyFont="1" applyFill="1" applyAlignment="1">
      <alignment wrapText="1"/>
    </xf>
    <xf numFmtId="0" fontId="1" fillId="28" borderId="25" xfId="0" applyFont="1" applyFill="1" applyBorder="1" applyAlignment="1">
      <alignment horizontal="center" vertical="center" wrapText="1"/>
    </xf>
    <xf numFmtId="0" fontId="10" fillId="28" borderId="23" xfId="0" applyFont="1" applyFill="1" applyBorder="1" applyAlignment="1">
      <alignment horizontal="left" vertical="center" wrapText="1" indent="1"/>
    </xf>
    <xf numFmtId="0" fontId="1" fillId="28" borderId="1" xfId="0" applyFont="1" applyFill="1" applyBorder="1" applyAlignment="1">
      <alignment horizontal="left" vertical="center" wrapText="1" indent="1"/>
    </xf>
    <xf numFmtId="164" fontId="19" fillId="26" borderId="2" xfId="2" applyNumberFormat="1" applyFont="1" applyFill="1" applyBorder="1" applyAlignment="1" applyProtection="1">
      <alignment horizontal="center" vertical="center" wrapText="1"/>
    </xf>
    <xf numFmtId="9" fontId="19" fillId="26" borderId="6" xfId="1" applyFont="1" applyFill="1" applyBorder="1" applyAlignment="1" applyProtection="1">
      <alignment horizontal="center" vertical="center" wrapText="1"/>
    </xf>
    <xf numFmtId="0" fontId="22" fillId="29" borderId="4" xfId="0" applyFont="1" applyFill="1" applyBorder="1" applyAlignment="1">
      <alignment horizontal="center" vertical="center" wrapText="1"/>
    </xf>
    <xf numFmtId="0" fontId="22" fillId="29" borderId="5" xfId="0" applyFont="1" applyFill="1" applyBorder="1" applyAlignment="1">
      <alignment horizontal="center" vertical="center" wrapText="1"/>
    </xf>
    <xf numFmtId="0" fontId="8" fillId="29" borderId="28" xfId="0" applyFont="1" applyFill="1" applyBorder="1" applyAlignment="1">
      <alignment horizontal="center" vertical="center" wrapText="1"/>
    </xf>
    <xf numFmtId="0" fontId="8" fillId="29" borderId="29" xfId="0" applyFont="1" applyFill="1" applyBorder="1" applyAlignment="1">
      <alignment horizontal="center" vertical="center" wrapText="1"/>
    </xf>
    <xf numFmtId="0" fontId="16" fillId="30" borderId="30" xfId="0" applyFont="1" applyFill="1" applyBorder="1" applyAlignment="1">
      <alignment horizontal="center" vertical="center" wrapText="1"/>
    </xf>
    <xf numFmtId="0" fontId="1" fillId="29" borderId="0" xfId="0" applyFont="1" applyFill="1" applyAlignment="1">
      <alignment wrapText="1"/>
    </xf>
    <xf numFmtId="164" fontId="19" fillId="29" borderId="2" xfId="2" applyNumberFormat="1" applyFont="1" applyFill="1" applyBorder="1" applyAlignment="1" applyProtection="1">
      <alignment horizontal="center" vertical="center" wrapText="1"/>
    </xf>
    <xf numFmtId="9" fontId="19" fillId="29" borderId="6" xfId="1" applyFont="1" applyFill="1" applyBorder="1" applyAlignment="1" applyProtection="1">
      <alignment horizontal="center" vertical="center" wrapText="1"/>
    </xf>
    <xf numFmtId="0" fontId="1" fillId="31" borderId="25" xfId="0" applyFont="1" applyFill="1" applyBorder="1" applyAlignment="1">
      <alignment horizontal="center" vertical="center" wrapText="1"/>
    </xf>
    <xf numFmtId="0" fontId="10" fillId="31" borderId="23" xfId="0" applyFont="1" applyFill="1" applyBorder="1" applyAlignment="1">
      <alignment horizontal="left" vertical="center" wrapText="1" indent="1"/>
    </xf>
    <xf numFmtId="0" fontId="1" fillId="31" borderId="1" xfId="0" applyFont="1" applyFill="1" applyBorder="1" applyAlignment="1">
      <alignment horizontal="left" vertical="center" wrapText="1" indent="1"/>
    </xf>
    <xf numFmtId="0" fontId="1" fillId="31" borderId="23" xfId="0" applyFont="1" applyFill="1" applyBorder="1" applyAlignment="1">
      <alignment horizontal="left" vertical="center" wrapText="1" indent="1"/>
    </xf>
    <xf numFmtId="0" fontId="16" fillId="30" borderId="43" xfId="0" applyFont="1" applyFill="1" applyBorder="1" applyAlignment="1">
      <alignment horizontal="center" vertical="center" wrapText="1"/>
    </xf>
    <xf numFmtId="0" fontId="22" fillId="32" borderId="4" xfId="0" applyFont="1" applyFill="1" applyBorder="1" applyAlignment="1">
      <alignment horizontal="center" vertical="center" wrapText="1"/>
    </xf>
    <xf numFmtId="0" fontId="22" fillId="32" borderId="5" xfId="0" applyFont="1" applyFill="1" applyBorder="1" applyAlignment="1">
      <alignment horizontal="center" vertical="center" wrapText="1"/>
    </xf>
    <xf numFmtId="0" fontId="8" fillId="32" borderId="28" xfId="0" applyFont="1" applyFill="1" applyBorder="1" applyAlignment="1">
      <alignment horizontal="center" vertical="center" wrapText="1"/>
    </xf>
    <xf numFmtId="0" fontId="8" fillId="32" borderId="29" xfId="0" applyFont="1" applyFill="1" applyBorder="1" applyAlignment="1">
      <alignment horizontal="center" vertical="center" wrapText="1"/>
    </xf>
    <xf numFmtId="0" fontId="16" fillId="33" borderId="30" xfId="0" applyFont="1" applyFill="1" applyBorder="1" applyAlignment="1">
      <alignment horizontal="center" vertical="center" wrapText="1"/>
    </xf>
    <xf numFmtId="0" fontId="1" fillId="32" borderId="0" xfId="0" applyFont="1" applyFill="1" applyAlignment="1">
      <alignment wrapText="1"/>
    </xf>
    <xf numFmtId="164" fontId="19" fillId="32" borderId="2" xfId="2" applyNumberFormat="1" applyFont="1" applyFill="1" applyBorder="1" applyAlignment="1" applyProtection="1">
      <alignment horizontal="center" vertical="center" wrapText="1"/>
    </xf>
    <xf numFmtId="9" fontId="19" fillId="32" borderId="6" xfId="1" applyFont="1" applyFill="1" applyBorder="1" applyAlignment="1" applyProtection="1">
      <alignment horizontal="center" vertical="center" wrapText="1"/>
    </xf>
    <xf numFmtId="0" fontId="1" fillId="34" borderId="25" xfId="0" applyFont="1" applyFill="1" applyBorder="1" applyAlignment="1">
      <alignment horizontal="center" vertical="center" wrapText="1"/>
    </xf>
    <xf numFmtId="0" fontId="10" fillId="34" borderId="23" xfId="0" applyFont="1" applyFill="1" applyBorder="1" applyAlignment="1">
      <alignment horizontal="left" vertical="center" wrapText="1" indent="1"/>
    </xf>
    <xf numFmtId="0" fontId="1" fillId="34" borderId="1" xfId="0" applyFont="1" applyFill="1" applyBorder="1" applyAlignment="1">
      <alignment horizontal="left" vertical="center" wrapText="1" indent="1"/>
    </xf>
    <xf numFmtId="0" fontId="1" fillId="34" borderId="23" xfId="0" applyFont="1" applyFill="1" applyBorder="1" applyAlignment="1">
      <alignment horizontal="left" vertical="center" wrapText="1" indent="1"/>
    </xf>
    <xf numFmtId="0" fontId="2" fillId="18" borderId="31" xfId="0" applyFont="1" applyFill="1" applyBorder="1" applyAlignment="1">
      <alignment horizontal="center" vertical="center" wrapText="1"/>
    </xf>
    <xf numFmtId="0" fontId="2" fillId="18" borderId="44" xfId="0" applyFont="1" applyFill="1" applyBorder="1" applyAlignment="1">
      <alignment horizontal="center" vertical="center" wrapText="1"/>
    </xf>
    <xf numFmtId="0" fontId="2" fillId="19" borderId="42" xfId="0" applyFont="1" applyFill="1" applyBorder="1" applyAlignment="1">
      <alignment horizontal="center" vertical="center" wrapText="1"/>
    </xf>
    <xf numFmtId="0" fontId="2" fillId="19" borderId="34" xfId="0" applyFont="1" applyFill="1" applyBorder="1" applyAlignment="1">
      <alignment horizontal="center" vertical="center" wrapText="1"/>
    </xf>
    <xf numFmtId="0" fontId="2" fillId="20" borderId="42" xfId="0" applyFont="1" applyFill="1" applyBorder="1" applyAlignment="1">
      <alignment horizontal="center" vertical="center" wrapText="1"/>
    </xf>
    <xf numFmtId="0" fontId="2" fillId="20" borderId="34" xfId="0" applyFont="1" applyFill="1" applyBorder="1" applyAlignment="1">
      <alignment horizontal="center" vertical="center" wrapText="1"/>
    </xf>
    <xf numFmtId="0" fontId="2" fillId="21" borderId="42" xfId="0" applyFont="1" applyFill="1" applyBorder="1" applyAlignment="1">
      <alignment horizontal="center" vertical="center" wrapText="1"/>
    </xf>
    <xf numFmtId="0" fontId="2" fillId="21" borderId="34" xfId="0" applyFont="1" applyFill="1" applyBorder="1" applyAlignment="1">
      <alignment horizontal="center" vertical="center" wrapText="1"/>
    </xf>
    <xf numFmtId="0" fontId="2" fillId="22" borderId="45" xfId="0" applyFont="1" applyFill="1" applyBorder="1" applyAlignment="1">
      <alignment horizontal="center" vertical="center" wrapText="1"/>
    </xf>
    <xf numFmtId="0" fontId="2" fillId="22" borderId="35" xfId="0" applyFont="1" applyFill="1" applyBorder="1" applyAlignment="1">
      <alignment horizontal="center" vertical="center" wrapText="1"/>
    </xf>
    <xf numFmtId="0" fontId="15" fillId="18" borderId="31" xfId="0" applyFont="1" applyFill="1" applyBorder="1" applyAlignment="1">
      <alignment horizontal="center" vertical="center" wrapText="1"/>
    </xf>
    <xf numFmtId="0" fontId="15" fillId="18" borderId="57" xfId="0" applyFont="1" applyFill="1" applyBorder="1" applyAlignment="1">
      <alignment horizontal="center" vertical="center" wrapText="1"/>
    </xf>
    <xf numFmtId="0" fontId="15" fillId="18" borderId="44" xfId="0" applyFont="1" applyFill="1" applyBorder="1" applyAlignment="1">
      <alignment horizontal="center" vertical="center" wrapText="1"/>
    </xf>
    <xf numFmtId="0" fontId="15" fillId="19" borderId="31" xfId="0" applyFont="1" applyFill="1" applyBorder="1" applyAlignment="1">
      <alignment horizontal="center" vertical="center" wrapText="1"/>
    </xf>
    <xf numFmtId="0" fontId="15" fillId="19" borderId="57" xfId="0" applyFont="1" applyFill="1" applyBorder="1" applyAlignment="1">
      <alignment horizontal="center" vertical="center" wrapText="1"/>
    </xf>
    <xf numFmtId="0" fontId="15" fillId="19" borderId="44" xfId="0" applyFont="1" applyFill="1" applyBorder="1" applyAlignment="1">
      <alignment horizontal="center" vertical="center" wrapText="1"/>
    </xf>
    <xf numFmtId="0" fontId="15" fillId="20" borderId="31" xfId="0" applyFont="1" applyFill="1" applyBorder="1" applyAlignment="1">
      <alignment horizontal="center" vertical="center" wrapText="1"/>
    </xf>
    <xf numFmtId="0" fontId="15" fillId="20" borderId="57" xfId="0" applyFont="1" applyFill="1" applyBorder="1" applyAlignment="1">
      <alignment horizontal="center" vertical="center" wrapText="1"/>
    </xf>
    <xf numFmtId="0" fontId="15" fillId="20" borderId="44" xfId="0" applyFont="1" applyFill="1" applyBorder="1" applyAlignment="1">
      <alignment horizontal="center" vertical="center" wrapText="1"/>
    </xf>
    <xf numFmtId="0" fontId="15" fillId="21" borderId="31" xfId="0" applyFont="1" applyFill="1" applyBorder="1" applyAlignment="1">
      <alignment horizontal="center" vertical="center" wrapText="1"/>
    </xf>
    <xf numFmtId="0" fontId="15" fillId="21" borderId="57" xfId="0" applyFont="1" applyFill="1" applyBorder="1" applyAlignment="1">
      <alignment horizontal="center" vertical="center" wrapText="1"/>
    </xf>
    <xf numFmtId="0" fontId="15" fillId="21" borderId="44" xfId="0" applyFont="1" applyFill="1" applyBorder="1" applyAlignment="1">
      <alignment horizontal="center" vertical="center" wrapText="1"/>
    </xf>
    <xf numFmtId="0" fontId="0" fillId="0" borderId="0" xfId="0" applyAlignment="1">
      <alignment horizontal="left" vertical="top" wrapText="1"/>
    </xf>
  </cellXfs>
  <cellStyles count="3">
    <cellStyle name="Comma" xfId="2" builtinId="3"/>
    <cellStyle name="Normal" xfId="0" builtinId="0"/>
    <cellStyle name="Per cent" xfId="1" builtinId="5"/>
  </cellStyles>
  <dxfs count="17">
    <dxf>
      <font>
        <color rgb="FF9C5700"/>
      </font>
      <fill>
        <patternFill>
          <bgColor rgb="FFFFEB9C"/>
        </patternFill>
      </fill>
    </dxf>
    <dxf>
      <font>
        <color rgb="FF9C5700"/>
      </font>
      <fill>
        <patternFill>
          <bgColor rgb="FFFFEB9C"/>
        </patternFill>
      </fill>
    </dxf>
    <dxf>
      <alignment horizontal="left"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s>
  <tableStyles count="0" defaultTableStyle="TableStyleMedium2" defaultPivotStyle="PivotStyleLight16"/>
  <colors>
    <mruColors>
      <color rgb="FFC0DFCD"/>
      <color rgb="FFFDE7BD"/>
      <color rgb="FFFADADA"/>
      <color rgb="FF90ABD3"/>
      <color rgb="FFB6ABD6"/>
      <color rgb="FFF7A600"/>
      <color rgb="FF42976A"/>
      <color rgb="FFEB5C3F"/>
      <color rgb="FF6285BB"/>
      <color rgb="FF9184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113357536894714"/>
          <c:y val="9.6692913385826765E-2"/>
          <c:w val="0.57635128676008152"/>
          <c:h val="0.82232685016936991"/>
        </c:manualLayout>
      </c:layout>
      <c:radarChart>
        <c:radarStyle val="filled"/>
        <c:varyColors val="0"/>
        <c:ser>
          <c:idx val="1"/>
          <c:order val="0"/>
          <c:tx>
            <c:v>Kritische Zone</c:v>
          </c:tx>
          <c:spPr>
            <a:solidFill>
              <a:schemeClr val="accent2">
                <a:alpha val="50196"/>
              </a:schemeClr>
            </a:solidFill>
            <a:ln w="25400">
              <a:solidFill>
                <a:schemeClr val="accent2"/>
              </a:solidFill>
              <a:prstDash val="sysDot"/>
            </a:ln>
            <a:effectLst/>
          </c:spPr>
          <c:cat>
            <c:strRef>
              <c:f>Auswertung!$A$20:$A$23</c:f>
              <c:strCache>
                <c:ptCount val="4"/>
                <c:pt idx="0">
                  <c:v>Software</c:v>
                </c:pt>
                <c:pt idx="1">
                  <c:v>Team</c:v>
                </c:pt>
                <c:pt idx="2">
                  <c:v>Einrichtung</c:v>
                </c:pt>
                <c:pt idx="3">
                  <c:v>Markt</c:v>
                </c:pt>
              </c:strCache>
            </c:strRef>
          </c:cat>
          <c:val>
            <c:numRef>
              <c:f>Bewertungsbogen!$F$5:$F$8</c:f>
              <c:numCache>
                <c:formatCode>0%</c:formatCode>
                <c:ptCount val="4"/>
                <c:pt idx="0">
                  <c:v>0.6</c:v>
                </c:pt>
                <c:pt idx="1">
                  <c:v>0.6</c:v>
                </c:pt>
                <c:pt idx="2">
                  <c:v>0.6</c:v>
                </c:pt>
                <c:pt idx="3">
                  <c:v>0.6</c:v>
                </c:pt>
              </c:numCache>
            </c:numRef>
          </c:val>
          <c:extLst>
            <c:ext xmlns:c16="http://schemas.microsoft.com/office/drawing/2014/chart" uri="{C3380CC4-5D6E-409C-BE32-E72D297353CC}">
              <c16:uniqueId val="{00000000-A7A7-8646-A36B-366840B89CE5}"/>
            </c:ext>
          </c:extLst>
        </c:ser>
        <c:ser>
          <c:idx val="0"/>
          <c:order val="1"/>
          <c:tx>
            <c:v>Bewertungen</c:v>
          </c:tx>
          <c:spPr>
            <a:noFill/>
            <a:ln w="25400">
              <a:solidFill>
                <a:schemeClr val="accent5"/>
              </a:solidFill>
              <a:prstDash val="solid"/>
            </a:ln>
            <a:effectLst/>
          </c:spPr>
          <c:cat>
            <c:strRef>
              <c:f>Auswertung!$A$20:$A$23</c:f>
              <c:strCache>
                <c:ptCount val="4"/>
                <c:pt idx="0">
                  <c:v>Software</c:v>
                </c:pt>
                <c:pt idx="1">
                  <c:v>Team</c:v>
                </c:pt>
                <c:pt idx="2">
                  <c:v>Einrichtung</c:v>
                </c:pt>
                <c:pt idx="3">
                  <c:v>Markt</c:v>
                </c:pt>
              </c:strCache>
            </c:strRef>
          </c:cat>
          <c:val>
            <c:numRef>
              <c:f>Bewertungsbogen!$I$5:$I$8</c:f>
              <c:numCache>
                <c:formatCode>0%</c:formatCode>
                <c:ptCount val="4"/>
                <c:pt idx="0">
                  <c:v>0</c:v>
                </c:pt>
                <c:pt idx="1">
                  <c:v>0</c:v>
                </c:pt>
                <c:pt idx="2">
                  <c:v>0</c:v>
                </c:pt>
                <c:pt idx="3">
                  <c:v>0</c:v>
                </c:pt>
              </c:numCache>
            </c:numRef>
          </c:val>
          <c:extLst>
            <c:ext xmlns:c16="http://schemas.microsoft.com/office/drawing/2014/chart" uri="{C3380CC4-5D6E-409C-BE32-E72D297353CC}">
              <c16:uniqueId val="{00000002-A7A7-8646-A36B-366840B89CE5}"/>
            </c:ext>
          </c:extLst>
        </c:ser>
        <c:dLbls>
          <c:showLegendKey val="0"/>
          <c:showVal val="0"/>
          <c:showCatName val="0"/>
          <c:showSerName val="0"/>
          <c:showPercent val="0"/>
          <c:showBubbleSize val="0"/>
        </c:dLbls>
        <c:axId val="1580567439"/>
        <c:axId val="1246916447"/>
      </c:radarChart>
      <c:catAx>
        <c:axId val="15805674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t" anchorCtr="0"/>
          <a:lstStyle/>
          <a:p>
            <a:pPr>
              <a:defRPr sz="1600" b="0" i="0" u="none" strike="noStrike" kern="1200" baseline="0">
                <a:solidFill>
                  <a:schemeClr val="tx1">
                    <a:lumMod val="65000"/>
                    <a:lumOff val="35000"/>
                  </a:schemeClr>
                </a:solidFill>
                <a:latin typeface="+mn-lt"/>
                <a:ea typeface="+mn-ea"/>
                <a:cs typeface="+mn-cs"/>
              </a:defRPr>
            </a:pPr>
            <a:endParaRPr lang="en-DE"/>
          </a:p>
        </c:txPr>
        <c:crossAx val="1246916447"/>
        <c:crosses val="autoZero"/>
        <c:auto val="1"/>
        <c:lblAlgn val="ctr"/>
        <c:lblOffset val="100"/>
        <c:noMultiLvlLbl val="0"/>
      </c:catAx>
      <c:valAx>
        <c:axId val="1246916447"/>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580567439"/>
        <c:crosses val="autoZero"/>
        <c:crossBetween val="between"/>
      </c:valAx>
      <c:spPr>
        <a:noFill/>
        <a:ln>
          <a:noFill/>
        </a:ln>
        <a:effectLst/>
      </c:spPr>
    </c:plotArea>
    <c:legend>
      <c:legendPos val="r"/>
      <c:layout>
        <c:manualLayout>
          <c:xMode val="edge"/>
          <c:yMode val="edge"/>
          <c:x val="0.74981874669819637"/>
          <c:y val="0.6813526257935707"/>
          <c:w val="0.20187378933863295"/>
          <c:h val="0.23215505754088431"/>
        </c:manualLayout>
      </c:layout>
      <c:overlay val="0"/>
      <c:spPr>
        <a:noFill/>
        <a:ln>
          <a:noFill/>
        </a:ln>
        <a:effectLst/>
      </c:spPr>
      <c:txPr>
        <a:bodyPr rot="0" spcFirstLastPara="1" vertOverflow="ellipsis" vert="horz" wrap="square" anchor="ctr" anchorCtr="1"/>
        <a:lstStyle/>
        <a:p>
          <a:pPr>
            <a:defRPr sz="1600" b="0" i="0" u="none" strike="noStrike" kern="1200" baseline="0">
              <a:ln>
                <a:noFill/>
              </a:ln>
              <a:solidFill>
                <a:schemeClr val="tx1">
                  <a:lumMod val="65000"/>
                  <a:lumOff val="35000"/>
                </a:schemeClr>
              </a:solidFill>
              <a:latin typeface="+mn-lt"/>
              <a:ea typeface="+mn-ea"/>
              <a:cs typeface="+mn-cs"/>
            </a:defRPr>
          </a:pPr>
          <a:endParaRPr lang="en-DE"/>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ysClr val="windowText" lastClr="000000"/>
      </a:solidFill>
      <a:round/>
    </a:ln>
    <a:effectLst/>
  </c:spPr>
  <c:txPr>
    <a:bodyPr/>
    <a:lstStyle/>
    <a:p>
      <a:pPr>
        <a:defRPr/>
      </a:pPr>
      <a:endParaRPr lang="en-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585480164072001E-2"/>
          <c:y val="4.3995712255433625E-2"/>
          <c:w val="0.93909122027197223"/>
          <c:h val="0.94128367003367008"/>
        </c:manualLayout>
      </c:layout>
      <c:radarChart>
        <c:radarStyle val="filled"/>
        <c:varyColors val="0"/>
        <c:ser>
          <c:idx val="0"/>
          <c:order val="0"/>
          <c:tx>
            <c:strRef>
              <c:f>Auswertung!$C$13</c:f>
              <c:strCache>
                <c:ptCount val="1"/>
                <c:pt idx="0">
                  <c:v>Bewertung</c:v>
                </c:pt>
              </c:strCache>
            </c:strRef>
          </c:tx>
          <c:spPr>
            <a:noFill/>
            <a:ln w="25400">
              <a:solidFill>
                <a:schemeClr val="accent1"/>
              </a:solidFill>
              <a:prstDash val="sysDot"/>
            </a:ln>
            <a:effectLst/>
          </c:spPr>
          <c:cat>
            <c:strRef>
              <c:f>Auswertung!$A$20:$A$23</c:f>
              <c:strCache>
                <c:ptCount val="4"/>
                <c:pt idx="0">
                  <c:v>Software</c:v>
                </c:pt>
                <c:pt idx="1">
                  <c:v>Team</c:v>
                </c:pt>
                <c:pt idx="2">
                  <c:v>Einrichtung</c:v>
                </c:pt>
                <c:pt idx="3">
                  <c:v>Markt</c:v>
                </c:pt>
              </c:strCache>
            </c:strRef>
          </c:cat>
          <c:val>
            <c:numRef>
              <c:f>Auswertung!$C$20:$C$23</c:f>
              <c:numCache>
                <c:formatCode>0%</c:formatCode>
                <c:ptCount val="4"/>
                <c:pt idx="0">
                  <c:v>0</c:v>
                </c:pt>
                <c:pt idx="1">
                  <c:v>0</c:v>
                </c:pt>
                <c:pt idx="2">
                  <c:v>0</c:v>
                </c:pt>
                <c:pt idx="3">
                  <c:v>0</c:v>
                </c:pt>
              </c:numCache>
            </c:numRef>
          </c:val>
          <c:extLst>
            <c:ext xmlns:c16="http://schemas.microsoft.com/office/drawing/2014/chart" uri="{C3380CC4-5D6E-409C-BE32-E72D297353CC}">
              <c16:uniqueId val="{00000001-CDE0-CF47-8323-DC2909C8FF95}"/>
            </c:ext>
          </c:extLst>
        </c:ser>
        <c:ser>
          <c:idx val="1"/>
          <c:order val="1"/>
          <c:tx>
            <c:strRef>
              <c:f>Auswertung!$D$44</c:f>
              <c:strCache>
                <c:ptCount val="1"/>
                <c:pt idx="0">
                  <c:v>Toleranzen</c:v>
                </c:pt>
              </c:strCache>
            </c:strRef>
          </c:tx>
          <c:spPr>
            <a:solidFill>
              <a:schemeClr val="accent2">
                <a:alpha val="50196"/>
              </a:schemeClr>
            </a:solidFill>
            <a:ln w="25400">
              <a:solidFill>
                <a:schemeClr val="accent2"/>
              </a:solidFill>
              <a:prstDash val="sysDot"/>
            </a:ln>
            <a:effectLst/>
          </c:spPr>
          <c:cat>
            <c:strRef>
              <c:f>Auswertung!$A$20:$A$23</c:f>
              <c:strCache>
                <c:ptCount val="4"/>
                <c:pt idx="0">
                  <c:v>Software</c:v>
                </c:pt>
                <c:pt idx="1">
                  <c:v>Team</c:v>
                </c:pt>
                <c:pt idx="2">
                  <c:v>Einrichtung</c:v>
                </c:pt>
                <c:pt idx="3">
                  <c:v>Markt</c:v>
                </c:pt>
              </c:strCache>
            </c:strRef>
          </c:cat>
          <c:val>
            <c:numRef>
              <c:f>Auswertung!$D$45:$D$48</c:f>
              <c:numCache>
                <c:formatCode>0%</c:formatCode>
                <c:ptCount val="4"/>
                <c:pt idx="0">
                  <c:v>0.6</c:v>
                </c:pt>
                <c:pt idx="1">
                  <c:v>0.6</c:v>
                </c:pt>
                <c:pt idx="2">
                  <c:v>0.6</c:v>
                </c:pt>
                <c:pt idx="3">
                  <c:v>0.6</c:v>
                </c:pt>
              </c:numCache>
            </c:numRef>
          </c:val>
          <c:extLst>
            <c:ext xmlns:c16="http://schemas.microsoft.com/office/drawing/2014/chart" uri="{C3380CC4-5D6E-409C-BE32-E72D297353CC}">
              <c16:uniqueId val="{00000000-CDE0-CF47-8323-DC2909C8FF95}"/>
            </c:ext>
          </c:extLst>
        </c:ser>
        <c:dLbls>
          <c:showLegendKey val="0"/>
          <c:showVal val="0"/>
          <c:showCatName val="0"/>
          <c:showSerName val="0"/>
          <c:showPercent val="0"/>
          <c:showBubbleSize val="0"/>
        </c:dLbls>
        <c:axId val="1580567439"/>
        <c:axId val="1246916447"/>
      </c:radarChart>
      <c:catAx>
        <c:axId val="1580567439"/>
        <c:scaling>
          <c:orientation val="minMax"/>
        </c:scaling>
        <c:delete val="1"/>
        <c:axPos val="b"/>
        <c:numFmt formatCode="General" sourceLinked="1"/>
        <c:majorTickMark val="none"/>
        <c:minorTickMark val="none"/>
        <c:tickLblPos val="nextTo"/>
        <c:crossAx val="1246916447"/>
        <c:crosses val="autoZero"/>
        <c:auto val="1"/>
        <c:lblAlgn val="ctr"/>
        <c:lblOffset val="100"/>
        <c:noMultiLvlLbl val="0"/>
      </c:catAx>
      <c:valAx>
        <c:axId val="1246916447"/>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DE"/>
          </a:p>
        </c:txPr>
        <c:crossAx val="158056743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ysClr val="windowText" lastClr="000000"/>
      </a:solidFill>
      <a:round/>
    </a:ln>
    <a:effectLst/>
  </c:spPr>
  <c:txPr>
    <a:bodyPr/>
    <a:lstStyle/>
    <a:p>
      <a:pPr>
        <a:defRPr/>
      </a:pPr>
      <a:endParaRPr lang="en-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7</xdr:col>
      <xdr:colOff>25401</xdr:colOff>
      <xdr:row>0</xdr:row>
      <xdr:rowOff>15874</xdr:rowOff>
    </xdr:from>
    <xdr:to>
      <xdr:col>17</xdr:col>
      <xdr:colOff>1</xdr:colOff>
      <xdr:row>10</xdr:row>
      <xdr:rowOff>787399</xdr:rowOff>
    </xdr:to>
    <xdr:graphicFrame macro="">
      <xdr:nvGraphicFramePr>
        <xdr:cNvPr id="3" name="Diagramm 3">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40</xdr:row>
      <xdr:rowOff>24430</xdr:rowOff>
    </xdr:from>
    <xdr:to>
      <xdr:col>4</xdr:col>
      <xdr:colOff>0</xdr:colOff>
      <xdr:row>53</xdr:row>
      <xdr:rowOff>9767</xdr:rowOff>
    </xdr:to>
    <xdr:graphicFrame macro="">
      <xdr:nvGraphicFramePr>
        <xdr:cNvPr id="4" name="Diagramm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995099-A53E-DF4F-BDBF-EEC0D9FFDF21}" name="Table1" displayName="Table1" ref="A1:N50" totalsRowShown="0" dataDxfId="16">
  <autoFilter ref="A1:N50" xr:uid="{EF995099-A53E-DF4F-BDBF-EEC0D9FFDF21}"/>
  <sortState xmlns:xlrd2="http://schemas.microsoft.com/office/spreadsheetml/2017/richdata2" ref="A2:N50">
    <sortCondition ref="A1:A50"/>
  </sortState>
  <tableColumns count="14">
    <tableColumn id="1" xr3:uid="{44F7A938-4BAD-4246-9C38-B11CC01EA29F}" name="Code" dataDxfId="15"/>
    <tableColumn id="16" xr3:uid="{61D0AB76-2609-FC41-93ED-92AD8B40D8FF}" name="Dimension" dataDxfId="14"/>
    <tableColumn id="17" xr3:uid="{1260573C-2F33-754C-9D83-BC8831C1B1B1}" name="Cluster" dataDxfId="13"/>
    <tableColumn id="18" xr3:uid="{F3B70247-F41D-A347-8E92-98E20E46E01E}" name="Fragecode" dataDxfId="12"/>
    <tableColumn id="2" xr3:uid="{52928808-8B37-3749-91B3-69C4B83A8E8B}" name="Bezeichnung" dataDxfId="11"/>
    <tableColumn id="5" xr3:uid="{5B18848E-8C0C-CE4C-84C4-58842CC6ED13}" name="Fragebogen" dataDxfId="10"/>
    <tableColumn id="6" xr3:uid="{67F4BA40-56CC-854F-86BB-78A21BC7E824}" name="Frage" dataDxfId="9"/>
    <tableColumn id="7" xr3:uid="{E6CA8EA0-EE38-594B-AA65-CDC408C8BEEF}" name="Satz" dataDxfId="8"/>
    <tableColumn id="8" xr3:uid="{4DF87115-E07C-E945-A736-A244C8545E21}" name="Nein (schlecht = 0)" dataDxfId="7"/>
    <tableColumn id="9" xr3:uid="{56E7871F-975E-8547-8DA1-820BA8259E0C}" name="dazwischen (0,5)" dataDxfId="6"/>
    <tableColumn id="10" xr3:uid="{0433325A-A57C-9F48-88A4-71573D1D59FE}" name="Ja (gut = 1)" dataDxfId="5"/>
    <tableColumn id="11" xr3:uid="{D669172D-01AE-CC42-A547-AF5EC701B495}" name="Beschreibung" dataDxfId="4"/>
    <tableColumn id="12" xr3:uid="{4022A8FB-0D42-034D-B44B-0C5D7F65F94E}" name="Gewichtung" dataDxfId="3"/>
    <tableColumn id="14" xr3:uid="{5EEF5491-DFB3-2046-9E7B-13C19765F00A}" name="Gewichtung Spin-Off"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350CC-8239-434E-A800-12FDDDBBA7F4}">
  <dimension ref="A1:G30"/>
  <sheetViews>
    <sheetView tabSelected="1" view="pageLayout" topLeftCell="A2" zoomScale="180" zoomScaleNormal="100" zoomScalePageLayoutView="180" workbookViewId="0">
      <selection activeCell="A9" sqref="A9:G9"/>
    </sheetView>
  </sheetViews>
  <sheetFormatPr baseColWidth="10" defaultRowHeight="15" x14ac:dyDescent="0.2"/>
  <sheetData>
    <row r="1" spans="1:7" ht="38" customHeight="1" x14ac:dyDescent="0.2">
      <c r="A1" s="111" t="s">
        <v>496</v>
      </c>
      <c r="B1" s="111"/>
      <c r="C1" s="111"/>
      <c r="D1" s="111"/>
      <c r="E1" s="111"/>
      <c r="F1" s="111"/>
      <c r="G1" s="111"/>
    </row>
    <row r="2" spans="1:7" x14ac:dyDescent="0.2">
      <c r="A2" s="107" t="s">
        <v>500</v>
      </c>
      <c r="B2" s="107"/>
      <c r="C2" s="107"/>
      <c r="D2" s="107"/>
      <c r="E2" s="107"/>
      <c r="F2" s="107"/>
      <c r="G2" s="107"/>
    </row>
    <row r="3" spans="1:7" ht="111" customHeight="1" x14ac:dyDescent="0.2">
      <c r="A3" s="108" t="s">
        <v>522</v>
      </c>
      <c r="B3" s="108"/>
      <c r="C3" s="108"/>
      <c r="D3" s="108"/>
      <c r="E3" s="108"/>
      <c r="F3" s="108"/>
      <c r="G3" s="108"/>
    </row>
    <row r="4" spans="1:7" x14ac:dyDescent="0.2">
      <c r="A4" s="107" t="s">
        <v>118</v>
      </c>
      <c r="B4" s="107"/>
      <c r="C4" s="107"/>
      <c r="D4" s="107"/>
      <c r="E4" s="107"/>
      <c r="F4" s="107"/>
      <c r="G4" s="107"/>
    </row>
    <row r="5" spans="1:7" ht="194" customHeight="1" x14ac:dyDescent="0.2">
      <c r="A5" s="108" t="s">
        <v>523</v>
      </c>
      <c r="B5" s="109"/>
      <c r="C5" s="109"/>
      <c r="D5" s="109"/>
      <c r="E5" s="109"/>
      <c r="F5" s="109"/>
      <c r="G5" s="109"/>
    </row>
    <row r="6" spans="1:7" ht="18" customHeight="1" x14ac:dyDescent="0.2">
      <c r="A6" s="107" t="s">
        <v>508</v>
      </c>
      <c r="B6" s="107"/>
      <c r="C6" s="107"/>
      <c r="D6" s="107"/>
      <c r="E6" s="107"/>
      <c r="F6" s="107"/>
      <c r="G6" s="107"/>
    </row>
    <row r="7" spans="1:7" ht="97" customHeight="1" x14ac:dyDescent="0.2">
      <c r="A7" s="108" t="s">
        <v>524</v>
      </c>
      <c r="B7" s="109"/>
      <c r="C7" s="109"/>
      <c r="D7" s="109"/>
      <c r="E7" s="109"/>
      <c r="F7" s="109"/>
      <c r="G7" s="109"/>
    </row>
    <row r="8" spans="1:7" x14ac:dyDescent="0.2">
      <c r="A8" s="107" t="s">
        <v>509</v>
      </c>
      <c r="B8" s="107"/>
      <c r="C8" s="107"/>
      <c r="D8" s="107"/>
      <c r="E8" s="107"/>
      <c r="F8" s="107"/>
      <c r="G8" s="107"/>
    </row>
    <row r="9" spans="1:7" ht="97" customHeight="1" x14ac:dyDescent="0.2">
      <c r="A9" s="108" t="s">
        <v>525</v>
      </c>
      <c r="B9" s="109"/>
      <c r="C9" s="109"/>
      <c r="D9" s="109"/>
      <c r="E9" s="109"/>
      <c r="F9" s="109"/>
      <c r="G9" s="109"/>
    </row>
    <row r="10" spans="1:7" x14ac:dyDescent="0.2">
      <c r="A10" s="107" t="s">
        <v>501</v>
      </c>
      <c r="B10" s="107"/>
      <c r="C10" s="107"/>
      <c r="D10" s="107"/>
      <c r="E10" s="107"/>
      <c r="F10" s="107"/>
      <c r="G10" s="107"/>
    </row>
    <row r="11" spans="1:7" ht="163" customHeight="1" x14ac:dyDescent="0.2">
      <c r="A11" s="108" t="s">
        <v>526</v>
      </c>
      <c r="B11" s="109"/>
      <c r="C11" s="109"/>
      <c r="D11" s="109"/>
      <c r="E11" s="109"/>
      <c r="F11" s="109"/>
      <c r="G11" s="109"/>
    </row>
    <row r="12" spans="1:7" ht="15" customHeight="1" x14ac:dyDescent="0.2">
      <c r="A12" s="107" t="s">
        <v>511</v>
      </c>
      <c r="B12" s="107"/>
      <c r="C12" s="107"/>
      <c r="D12" s="107"/>
      <c r="E12" s="107"/>
      <c r="F12" s="107"/>
      <c r="G12" s="107"/>
    </row>
    <row r="13" spans="1:7" ht="190" customHeight="1" x14ac:dyDescent="0.2">
      <c r="A13" s="108" t="s">
        <v>527</v>
      </c>
      <c r="B13" s="109"/>
      <c r="C13" s="109"/>
      <c r="D13" s="109"/>
      <c r="E13" s="109"/>
      <c r="F13" s="109"/>
      <c r="G13" s="109"/>
    </row>
    <row r="14" spans="1:7" x14ac:dyDescent="0.2">
      <c r="A14" s="107" t="s">
        <v>502</v>
      </c>
      <c r="B14" s="107"/>
      <c r="C14" s="107"/>
      <c r="D14" s="107"/>
      <c r="E14" s="107"/>
      <c r="F14" s="107"/>
      <c r="G14" s="107"/>
    </row>
    <row r="15" spans="1:7" ht="265" customHeight="1" x14ac:dyDescent="0.2">
      <c r="A15" s="108" t="s">
        <v>513</v>
      </c>
      <c r="B15" s="109"/>
      <c r="C15" s="109"/>
      <c r="D15" s="109"/>
      <c r="E15" s="109"/>
      <c r="F15" s="109"/>
      <c r="G15" s="109"/>
    </row>
    <row r="16" spans="1:7" ht="201" customHeight="1" x14ac:dyDescent="0.2">
      <c r="A16" s="108" t="s">
        <v>514</v>
      </c>
      <c r="B16" s="108"/>
      <c r="C16" s="108"/>
      <c r="D16" s="108"/>
      <c r="E16" s="108"/>
      <c r="F16" s="108"/>
      <c r="G16" s="108"/>
    </row>
    <row r="17" spans="1:7" x14ac:dyDescent="0.2">
      <c r="A17" s="91" t="s">
        <v>503</v>
      </c>
      <c r="B17" s="91"/>
      <c r="C17" s="91"/>
      <c r="D17" s="91"/>
      <c r="E17" s="91"/>
      <c r="F17" s="91"/>
      <c r="G17" s="91"/>
    </row>
    <row r="18" spans="1:7" ht="37" customHeight="1" x14ac:dyDescent="0.2">
      <c r="A18" s="112" t="s">
        <v>504</v>
      </c>
      <c r="B18" s="112"/>
      <c r="C18" s="112"/>
      <c r="D18" s="112"/>
      <c r="E18" s="112"/>
      <c r="F18" s="112"/>
      <c r="G18" s="112"/>
    </row>
    <row r="19" spans="1:7" ht="46" customHeight="1" x14ac:dyDescent="0.2">
      <c r="A19" s="106" t="s">
        <v>512</v>
      </c>
      <c r="B19" s="106"/>
      <c r="C19" s="106"/>
      <c r="D19" s="106"/>
      <c r="E19" s="106"/>
      <c r="F19" s="106"/>
      <c r="G19" s="106"/>
    </row>
    <row r="20" spans="1:7" x14ac:dyDescent="0.2">
      <c r="A20" s="110" t="s">
        <v>510</v>
      </c>
      <c r="B20" s="110"/>
      <c r="C20" s="110"/>
      <c r="D20" s="110"/>
      <c r="E20" s="110"/>
      <c r="F20" s="110"/>
      <c r="G20" s="110"/>
    </row>
    <row r="21" spans="1:7" ht="76" customHeight="1" x14ac:dyDescent="0.2">
      <c r="A21" s="247" t="s">
        <v>528</v>
      </c>
      <c r="B21" s="247"/>
      <c r="C21" s="247"/>
      <c r="D21" s="247"/>
      <c r="E21" s="247"/>
      <c r="F21" s="247"/>
      <c r="G21" s="247"/>
    </row>
    <row r="22" spans="1:7" x14ac:dyDescent="0.2">
      <c r="A22" s="110"/>
      <c r="B22" s="110"/>
      <c r="C22" s="110"/>
      <c r="D22" s="110"/>
      <c r="E22" s="110"/>
      <c r="F22" s="110"/>
      <c r="G22" s="110"/>
    </row>
    <row r="23" spans="1:7" x14ac:dyDescent="0.2">
      <c r="A23" s="110" t="s">
        <v>519</v>
      </c>
      <c r="B23" s="110"/>
      <c r="C23" s="110"/>
      <c r="D23" s="110"/>
      <c r="E23" s="110"/>
      <c r="F23" s="110"/>
      <c r="G23" s="110"/>
    </row>
    <row r="24" spans="1:7" ht="60" customHeight="1" x14ac:dyDescent="0.2">
      <c r="A24" s="247" t="s">
        <v>529</v>
      </c>
      <c r="B24" s="247"/>
      <c r="C24" s="247"/>
      <c r="D24" s="247"/>
      <c r="E24" s="247"/>
      <c r="F24" s="247"/>
      <c r="G24" s="247"/>
    </row>
    <row r="25" spans="1:7" x14ac:dyDescent="0.2">
      <c r="A25" s="110"/>
      <c r="B25" s="110"/>
      <c r="C25" s="110"/>
      <c r="D25" s="110"/>
      <c r="E25" s="110"/>
      <c r="F25" s="110"/>
      <c r="G25" s="110"/>
    </row>
    <row r="26" spans="1:7" x14ac:dyDescent="0.2">
      <c r="A26" s="110" t="s">
        <v>520</v>
      </c>
      <c r="B26" s="110"/>
      <c r="C26" s="110"/>
      <c r="D26" s="110"/>
      <c r="E26" s="110"/>
      <c r="F26" s="110"/>
      <c r="G26" s="110"/>
    </row>
    <row r="27" spans="1:7" ht="210" customHeight="1" x14ac:dyDescent="0.2">
      <c r="A27" s="247" t="s">
        <v>530</v>
      </c>
      <c r="B27" s="247"/>
      <c r="C27" s="247"/>
      <c r="D27" s="247"/>
      <c r="E27" s="247"/>
      <c r="F27" s="247"/>
      <c r="G27" s="247"/>
    </row>
    <row r="28" spans="1:7" x14ac:dyDescent="0.2">
      <c r="A28" s="110"/>
      <c r="B28" s="110"/>
      <c r="C28" s="110"/>
      <c r="D28" s="110"/>
      <c r="E28" s="110"/>
      <c r="F28" s="110"/>
      <c r="G28" s="110"/>
    </row>
    <row r="29" spans="1:7" x14ac:dyDescent="0.2">
      <c r="A29" s="110" t="s">
        <v>521</v>
      </c>
      <c r="B29" s="110"/>
      <c r="C29" s="110"/>
      <c r="D29" s="110"/>
      <c r="E29" s="110"/>
      <c r="F29" s="110"/>
      <c r="G29" s="110"/>
    </row>
    <row r="30" spans="1:7" ht="91" customHeight="1" x14ac:dyDescent="0.2">
      <c r="A30" s="247" t="s">
        <v>531</v>
      </c>
      <c r="B30" s="247"/>
      <c r="C30" s="247"/>
      <c r="D30" s="247"/>
      <c r="E30" s="247"/>
      <c r="F30" s="247"/>
      <c r="G30" s="247"/>
    </row>
  </sheetData>
  <sheetProtection sheet="1" objects="1" scenarios="1"/>
  <mergeCells count="28">
    <mergeCell ref="A26:G26"/>
    <mergeCell ref="A27:G27"/>
    <mergeCell ref="A28:G28"/>
    <mergeCell ref="A29:G29"/>
    <mergeCell ref="A30:G30"/>
    <mergeCell ref="A7:G7"/>
    <mergeCell ref="A22:G22"/>
    <mergeCell ref="A23:G23"/>
    <mergeCell ref="A24:G24"/>
    <mergeCell ref="A25:G25"/>
    <mergeCell ref="A1:G1"/>
    <mergeCell ref="A2:G2"/>
    <mergeCell ref="A3:G3"/>
    <mergeCell ref="A4:G4"/>
    <mergeCell ref="A6:G6"/>
    <mergeCell ref="A5:G5"/>
    <mergeCell ref="A21:G21"/>
    <mergeCell ref="A12:G12"/>
    <mergeCell ref="A13:G13"/>
    <mergeCell ref="A8:G8"/>
    <mergeCell ref="A9:G9"/>
    <mergeCell ref="A20:G20"/>
    <mergeCell ref="A10:G10"/>
    <mergeCell ref="A11:G11"/>
    <mergeCell ref="A14:G14"/>
    <mergeCell ref="A15:G15"/>
    <mergeCell ref="A16:G16"/>
    <mergeCell ref="A18:G18"/>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424DC-CB79-4871-AEA1-FF0EC3EF3079}">
  <dimension ref="A1:BJ67"/>
  <sheetViews>
    <sheetView zoomScaleNormal="100" workbookViewId="0">
      <selection activeCell="F5" sqref="F5"/>
    </sheetView>
  </sheetViews>
  <sheetFormatPr baseColWidth="10" defaultColWidth="11.5" defaultRowHeight="15" x14ac:dyDescent="0.2"/>
  <cols>
    <col min="1" max="1" width="8" style="1" bestFit="1" customWidth="1"/>
    <col min="2" max="2" width="28.33203125" style="1" customWidth="1"/>
    <col min="3" max="3" width="31.6640625" style="1" customWidth="1"/>
    <col min="4" max="5" width="28.33203125" style="1" customWidth="1"/>
    <col min="6" max="8" width="20" style="1" customWidth="1"/>
    <col min="9" max="14" width="9" style="1" hidden="1" customWidth="1"/>
    <col min="15" max="16" width="52.1640625" style="1" hidden="1" customWidth="1"/>
    <col min="17" max="17" width="83.5" style="2" bestFit="1" customWidth="1"/>
    <col min="18" max="18" width="7.83203125" style="26" customWidth="1"/>
    <col min="19" max="20" width="5.33203125" style="26" customWidth="1"/>
    <col min="21" max="21" width="5.33203125" style="54" customWidth="1"/>
    <col min="22" max="22" width="23" style="26" customWidth="1"/>
    <col min="23" max="27" width="23" style="1" customWidth="1"/>
    <col min="28" max="33" width="11.5" style="1" customWidth="1"/>
    <col min="34" max="16384" width="11.5" style="1"/>
  </cols>
  <sheetData>
    <row r="1" spans="1:62" ht="29" x14ac:dyDescent="0.2">
      <c r="A1" s="111" t="s">
        <v>496</v>
      </c>
      <c r="B1" s="111"/>
      <c r="C1" s="111"/>
      <c r="D1" s="111"/>
      <c r="E1" s="111"/>
      <c r="F1" s="111"/>
      <c r="G1" s="111"/>
      <c r="H1" s="53"/>
      <c r="I1" s="53"/>
      <c r="J1" s="53"/>
      <c r="K1" s="53"/>
      <c r="L1" s="53"/>
      <c r="M1" s="53"/>
      <c r="N1" s="53"/>
      <c r="O1" s="53"/>
      <c r="P1" s="53"/>
      <c r="Q1" s="53"/>
    </row>
    <row r="2" spans="1:62" ht="67" customHeight="1" x14ac:dyDescent="0.2">
      <c r="A2" s="122" t="s">
        <v>506</v>
      </c>
      <c r="B2" s="122"/>
      <c r="C2" s="122"/>
      <c r="D2" s="122"/>
      <c r="E2" s="122"/>
      <c r="F2" s="122"/>
      <c r="G2" s="122"/>
      <c r="H2" s="55"/>
      <c r="I2" s="55"/>
      <c r="J2" s="55"/>
      <c r="K2" s="55"/>
      <c r="L2" s="55"/>
      <c r="M2" s="55"/>
      <c r="N2" s="55"/>
      <c r="O2" s="55"/>
      <c r="P2" s="55"/>
      <c r="Q2" s="55"/>
    </row>
    <row r="3" spans="1:62" ht="46" customHeight="1" thickBot="1" x14ac:dyDescent="0.25">
      <c r="A3" s="113" t="s">
        <v>505</v>
      </c>
      <c r="B3" s="113"/>
      <c r="C3" s="113"/>
      <c r="D3" s="114"/>
      <c r="E3" s="115" t="s">
        <v>495</v>
      </c>
      <c r="F3" s="115"/>
      <c r="G3" s="115"/>
      <c r="H3" s="56"/>
      <c r="J3" s="57"/>
      <c r="K3" s="57"/>
      <c r="L3" s="57"/>
      <c r="M3" s="57"/>
      <c r="N3" s="57"/>
      <c r="O3" s="57"/>
      <c r="P3" s="57"/>
      <c r="Q3" s="58"/>
    </row>
    <row r="4" spans="1:62" ht="30" thickBot="1" x14ac:dyDescent="0.25">
      <c r="A4" s="116" t="s">
        <v>147</v>
      </c>
      <c r="B4" s="116"/>
      <c r="C4" s="118"/>
      <c r="D4" s="119"/>
      <c r="E4" s="105" t="s">
        <v>118</v>
      </c>
      <c r="F4" s="59" t="s">
        <v>195</v>
      </c>
      <c r="G4" s="60" t="s">
        <v>192</v>
      </c>
      <c r="I4" s="61" t="s">
        <v>195</v>
      </c>
      <c r="J4" s="62" t="s">
        <v>469</v>
      </c>
      <c r="L4" s="63"/>
      <c r="M4" s="63"/>
      <c r="N4" s="63"/>
      <c r="O4" s="63"/>
      <c r="P4" s="63"/>
      <c r="Q4" s="58"/>
    </row>
    <row r="5" spans="1:62" ht="30" thickBot="1" x14ac:dyDescent="0.25">
      <c r="A5" s="117" t="s">
        <v>146</v>
      </c>
      <c r="B5" s="117"/>
      <c r="C5" s="120"/>
      <c r="D5" s="121"/>
      <c r="E5" s="173" t="s">
        <v>119</v>
      </c>
      <c r="F5" s="96">
        <v>0.6</v>
      </c>
      <c r="G5" s="97">
        <v>0.7</v>
      </c>
      <c r="I5" s="64">
        <f>F21</f>
        <v>0</v>
      </c>
      <c r="J5" s="52">
        <f>IFERROR((COUNTIFS(M14:M20,"&gt;0",L14:L20,"&gt;0")+COUNTIFS(M25:M31,"&gt;0",L25:L31,"&gt;0")+COUNTIFS(M36:M41,"&gt;0",L36:L41,"&gt;0")+COUNTIFS(M46:M51,"&gt;0",L46:L51,"&gt;0"))/(COUNTIFS(F14:F20,"&lt;&gt;nicht relevant",L14:L20,"&gt;0")+COUNTIFS(F25:F31,"&lt;&gt;nicht relevant",L25:L31,"&gt;0")+COUNTIFS(F36:F41,"&lt;&gt;nicht relevant",L36:L41,"&gt;0")+COUNTIFS(F46:F51,"&lt;&gt;nicht relevant",L46:L51,"&gt;0")),"Bewertung nicht möglich")</f>
        <v>0</v>
      </c>
      <c r="L5" s="63"/>
      <c r="M5" s="63"/>
      <c r="N5" s="63"/>
      <c r="O5" s="63"/>
      <c r="P5" s="63"/>
      <c r="U5" s="65"/>
      <c r="V5" s="65"/>
      <c r="W5" s="66"/>
      <c r="X5" s="66"/>
      <c r="Y5" s="66"/>
      <c r="Z5" s="66"/>
      <c r="AA5" s="66"/>
      <c r="AB5" s="66"/>
      <c r="AC5" s="66"/>
    </row>
    <row r="6" spans="1:62" ht="30" customHeight="1" x14ac:dyDescent="0.2">
      <c r="A6" s="123" t="s">
        <v>148</v>
      </c>
      <c r="B6" s="124"/>
      <c r="C6" s="127"/>
      <c r="D6" s="128"/>
      <c r="E6" s="174" t="s">
        <v>116</v>
      </c>
      <c r="F6" s="98">
        <v>0.6</v>
      </c>
      <c r="G6" s="97">
        <v>0.7</v>
      </c>
      <c r="I6" s="67">
        <f>F32</f>
        <v>0</v>
      </c>
      <c r="K6" s="63"/>
      <c r="M6" s="63"/>
      <c r="N6" s="63"/>
      <c r="O6" s="63"/>
      <c r="P6" s="63"/>
      <c r="U6" s="65"/>
      <c r="V6" s="65"/>
      <c r="W6" s="66"/>
      <c r="X6" s="66"/>
      <c r="Y6" s="66"/>
      <c r="Z6" s="66"/>
      <c r="AA6" s="66"/>
      <c r="AB6" s="66"/>
      <c r="AC6" s="66"/>
    </row>
    <row r="7" spans="1:62" ht="30" customHeight="1" x14ac:dyDescent="0.2">
      <c r="A7" s="125"/>
      <c r="B7" s="117"/>
      <c r="C7" s="129"/>
      <c r="D7" s="130"/>
      <c r="E7" s="175" t="s">
        <v>120</v>
      </c>
      <c r="F7" s="98">
        <v>0.6</v>
      </c>
      <c r="G7" s="97">
        <v>0.7</v>
      </c>
      <c r="I7" s="67">
        <f>F42</f>
        <v>0</v>
      </c>
      <c r="K7" s="63"/>
      <c r="M7" s="63"/>
      <c r="N7" s="63"/>
      <c r="O7" s="63"/>
      <c r="P7" s="63"/>
      <c r="U7" s="65"/>
      <c r="V7" s="65"/>
      <c r="W7" s="66"/>
      <c r="X7" s="66"/>
      <c r="Y7" s="66"/>
      <c r="Z7" s="66"/>
      <c r="AA7" s="66"/>
      <c r="AB7" s="66"/>
      <c r="AC7" s="66"/>
    </row>
    <row r="8" spans="1:62" ht="30" customHeight="1" x14ac:dyDescent="0.2">
      <c r="A8" s="125"/>
      <c r="B8" s="117"/>
      <c r="C8" s="129"/>
      <c r="D8" s="130"/>
      <c r="E8" s="176" t="s">
        <v>121</v>
      </c>
      <c r="F8" s="98">
        <v>0.6</v>
      </c>
      <c r="G8" s="97">
        <v>0.7</v>
      </c>
      <c r="I8" s="67">
        <f>F52</f>
        <v>0</v>
      </c>
      <c r="K8" s="63"/>
      <c r="L8" s="63"/>
      <c r="M8" s="63"/>
      <c r="N8" s="63"/>
      <c r="O8" s="63"/>
      <c r="P8" s="63"/>
      <c r="U8" s="68"/>
      <c r="V8" s="68"/>
      <c r="W8" s="69"/>
      <c r="X8" s="69"/>
      <c r="Y8" s="69"/>
      <c r="Z8" s="69"/>
      <c r="AA8" s="69"/>
      <c r="AB8" s="69"/>
      <c r="AC8" s="69"/>
    </row>
    <row r="9" spans="1:62" ht="30" customHeight="1" thickBot="1" x14ac:dyDescent="0.25">
      <c r="A9" s="126"/>
      <c r="B9" s="116"/>
      <c r="C9" s="131"/>
      <c r="D9" s="132"/>
      <c r="E9" s="177" t="s">
        <v>470</v>
      </c>
      <c r="F9" s="99">
        <v>0.6</v>
      </c>
      <c r="G9" s="100">
        <v>0.7</v>
      </c>
      <c r="I9" s="70">
        <f>IFERROR(SUM(Bewertungsbogen!M:M)/SUM(Bewertungsbogen!L:L),0)</f>
        <v>0</v>
      </c>
      <c r="K9" s="27"/>
      <c r="L9" s="27"/>
      <c r="M9" s="27"/>
      <c r="N9" s="27"/>
      <c r="O9" s="27"/>
      <c r="P9" s="27"/>
      <c r="U9" s="68"/>
      <c r="V9" s="68"/>
      <c r="W9" s="69"/>
      <c r="X9" s="69"/>
      <c r="Y9" s="69"/>
      <c r="Z9" s="69"/>
      <c r="AA9" s="69"/>
      <c r="AB9" s="69"/>
      <c r="AC9" s="69"/>
    </row>
    <row r="10" spans="1:62" ht="68" x14ac:dyDescent="0.2">
      <c r="A10" s="133" t="s">
        <v>497</v>
      </c>
      <c r="B10" s="133"/>
      <c r="C10" s="133"/>
      <c r="D10" s="133"/>
      <c r="E10" s="71"/>
      <c r="F10" s="72" t="s">
        <v>507</v>
      </c>
      <c r="G10" s="72" t="s">
        <v>492</v>
      </c>
      <c r="J10" s="27"/>
      <c r="K10" s="27"/>
      <c r="L10" s="27"/>
      <c r="M10" s="27"/>
      <c r="N10" s="27"/>
      <c r="O10" s="27"/>
      <c r="P10" s="27"/>
      <c r="Q10" s="54"/>
      <c r="U10" s="68"/>
      <c r="V10" s="68"/>
      <c r="W10" s="69"/>
      <c r="X10" s="69"/>
      <c r="Y10" s="69"/>
      <c r="Z10" s="69"/>
      <c r="AA10" s="69"/>
      <c r="AB10" s="69"/>
      <c r="AC10" s="69"/>
    </row>
    <row r="11" spans="1:62" ht="50" customHeight="1" thickBot="1" x14ac:dyDescent="0.25">
      <c r="A11" s="113" t="s">
        <v>499</v>
      </c>
      <c r="B11" s="113"/>
      <c r="C11" s="113"/>
      <c r="D11" s="113"/>
      <c r="E11" s="113"/>
      <c r="F11" s="113"/>
      <c r="G11" s="113"/>
      <c r="H11" s="73"/>
      <c r="I11" s="73"/>
      <c r="J11" s="73"/>
      <c r="K11" s="73"/>
      <c r="L11" s="73"/>
      <c r="M11" s="73"/>
      <c r="N11" s="73"/>
      <c r="O11" s="73"/>
      <c r="P11" s="73"/>
      <c r="Q11" s="73"/>
      <c r="R11" s="62"/>
      <c r="S11" s="62"/>
      <c r="T11" s="54"/>
      <c r="V11" s="54"/>
      <c r="W11" s="2"/>
      <c r="X11" s="2"/>
      <c r="Y11" s="2"/>
      <c r="Z11" s="2"/>
      <c r="AA11" s="2"/>
      <c r="AB11" s="2"/>
      <c r="AC11" s="2"/>
      <c r="AD11" s="2"/>
      <c r="AE11" s="2"/>
      <c r="AF11" s="2"/>
      <c r="AG11" s="2"/>
    </row>
    <row r="12" spans="1:62" ht="27" thickBot="1" x14ac:dyDescent="0.25">
      <c r="A12" s="178" t="s">
        <v>117</v>
      </c>
      <c r="B12" s="179"/>
      <c r="C12" s="179"/>
      <c r="D12" s="179"/>
      <c r="E12" s="179"/>
      <c r="F12" s="179"/>
      <c r="G12" s="179"/>
      <c r="H12" s="179"/>
      <c r="I12" s="179"/>
      <c r="J12" s="179"/>
      <c r="K12" s="179"/>
      <c r="L12" s="179"/>
      <c r="M12" s="179"/>
      <c r="N12" s="179"/>
      <c r="O12" s="179"/>
      <c r="P12" s="179"/>
      <c r="Q12" s="179"/>
      <c r="R12" s="54"/>
      <c r="S12" s="54"/>
      <c r="V12" s="74"/>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row>
    <row r="13" spans="1:62" ht="49" thickBot="1" x14ac:dyDescent="0.25">
      <c r="A13" s="180" t="s">
        <v>112</v>
      </c>
      <c r="B13" s="181" t="s">
        <v>113</v>
      </c>
      <c r="C13" s="181" t="s">
        <v>463</v>
      </c>
      <c r="D13" s="181" t="s">
        <v>325</v>
      </c>
      <c r="E13" s="181" t="s">
        <v>458</v>
      </c>
      <c r="F13" s="182" t="s">
        <v>493</v>
      </c>
      <c r="G13" s="182" t="s">
        <v>494</v>
      </c>
      <c r="H13" s="182" t="s">
        <v>490</v>
      </c>
      <c r="I13" s="183" t="s">
        <v>267</v>
      </c>
      <c r="J13" s="183" t="s">
        <v>459</v>
      </c>
      <c r="K13" s="183" t="s">
        <v>460</v>
      </c>
      <c r="L13" s="183" t="s">
        <v>467</v>
      </c>
      <c r="M13" s="183" t="s">
        <v>468</v>
      </c>
      <c r="N13" s="183" t="s">
        <v>464</v>
      </c>
      <c r="O13" s="183" t="s">
        <v>307</v>
      </c>
      <c r="P13" s="183" t="s">
        <v>265</v>
      </c>
      <c r="Q13" s="181" t="s">
        <v>115</v>
      </c>
      <c r="U13" s="26"/>
      <c r="V13" s="54"/>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row>
    <row r="14" spans="1:62" ht="65" thickBot="1" x14ac:dyDescent="0.25">
      <c r="A14" s="75" t="s">
        <v>431</v>
      </c>
      <c r="B14" s="76" t="str">
        <f>VLOOKUP($A14,Fragenkatalog!$A$1:$L$53,MATCH(B$13,Fragenkatalog!$1:$1,0),FALSE)</f>
        <v>Handelt es sich bei der Software um eine neue, nicht offensichtliche Erfindung?</v>
      </c>
      <c r="C14" s="77" t="str">
        <f>_xlfn.CONCAT("Nein: ",VLOOKUP($A14,Fragenkatalog!$A$1:$L$53,MATCH(C$13,Fragenkatalog!$1:$1,0),FALSE))</f>
        <v>Nein: Es handelt sich lediglich um eine Umsetzung bestehender Technologien.</v>
      </c>
      <c r="D14" s="77" t="str">
        <f>VLOOKUP($A14,Fragenkatalog!$A$1:$L$53,MATCH(D$13,Fragenkatalog!$1:$1,0),FALSE)</f>
        <v>Neue Funktionen für bestehende Software.</v>
      </c>
      <c r="E14" s="77" t="str">
        <f>_xlfn.CONCAT("Ja: ",VLOOKUP($A14,Fragenkatalog!$A$1:$L$53,MATCH(E$13,Fragenkatalog!$1:$1,0),FALSE))</f>
        <v>Ja: Die Software ist eine neuartige Entwicklung.</v>
      </c>
      <c r="F14" s="81"/>
      <c r="G14" s="82"/>
      <c r="H14" s="82" t="s">
        <v>197</v>
      </c>
      <c r="I14" s="2">
        <f>IF(F14=LookupTabellen!$A$7,0,IFERROR(VLOOKUP(A14,Fragenkatalog!A:N,13,FALSE),""))</f>
        <v>1</v>
      </c>
      <c r="J14" s="2">
        <f>IF(OR(F14="",AND(G14="",F14&lt;&gt;LookupTabellen!$A$6,F14&lt;&gt;LookupTabellen!$A$7)),0,IFERROR(VLOOKUP(F14,LookupTabellen!$A$3:$B$7,2,FALSE)*VLOOKUP(A14,Fragenkatalog!A:N,13,FALSE),""))</f>
        <v>0</v>
      </c>
      <c r="K14" s="2">
        <f>IF(OR(F14="",AND(G14="",F14&lt;&gt;LookupTabellen!$A$6,F14&lt;&gt;LookupTabellen!$A$7)),0,IFERROR(VLOOKUP(F14,LookupTabellen!$A$3:$C$7,3,FALSE)*VLOOKUP(G14,LookupTabellen!$D$3:$F$5,3,FALSE)*VLOOKUP(A14,Fragenkatalog!A:N,13,FALSE),""))</f>
        <v>0</v>
      </c>
      <c r="L14" s="2">
        <f>IF(F14=LookupTabellen!$A$6,0,IFERROR(ABS(VLOOKUP(A14,Fragenkatalog!A:N,14,FALSE)),""))</f>
        <v>0.3</v>
      </c>
      <c r="M14" s="2" t="str">
        <f>IFERROR((IF(VLOOKUP(A14,Fragenkatalog!A:N,14,FALSE)&lt;0,-4,0)+VLOOKUP(F14,LookupTabellen!$A$3:$B$7,2,FALSE))*VLOOKUP(A14,Fragenkatalog!A:N,14,FALSE),"")</f>
        <v/>
      </c>
      <c r="N14" s="2">
        <f>IFERROR(VLOOKUP(G14,LookupTabellen!$D$3:$E$5,2,FALSE)*AND(H14&lt;&gt;"Antwort auswählen",F14&lt;&gt;LookupTabellen!$A$6,F14&lt;&gt;LookupTabellen!$A$7),0)</f>
        <v>0</v>
      </c>
      <c r="O14" s="1" t="str">
        <f>IF(F14=LookupTabellen!$A$3,IF(VLOOKUP($A14,Fragenkatalog!$A$1:$L$53,MATCH($C$13,Fragenkatalog!$1:$1,0),FALSE)=0,"",CONCATENATE(VLOOKUP(H14,LookupTabellen!$H$2:$I$3,2,FALSE),VLOOKUP($A14,Fragenkatalog!$A$1:$L$53,MATCH($C$13,Fragenkatalog!$1:$1,0),FALSE))),"")</f>
        <v/>
      </c>
      <c r="P14" s="2" t="str">
        <f>IF(O14="",IF(OR(F14=LookupTabellen!$A$6,F14="",G14=LookupTabellen!$D$3),IF(VLOOKUP($A14,Fragenkatalog!$A$1:$L$53,MATCH("Frage",Fragenkatalog!$1:$1,0),FALSE)=0,"",CONCATENATE(VLOOKUP(H14,LookupTabellen!$H$2:$I$3,2,FALSE),VLOOKUP($A14,Fragenkatalog!$A$1:$L$53,MATCH("Frage",Fragenkatalog!$1:$1,0),FALSE))),""),"")</f>
        <v>Handelt es sich bei der Software um eine neue, nicht offensichtliche Erfindung?</v>
      </c>
      <c r="Q14" s="78" t="str">
        <f>VLOOKUP($A14,Fragenkatalog!$A$1:$L$53,MATCH(Q$13,Fragenkatalog!$1:$1,0),FALSE)</f>
        <v xml:space="preserve">Hier wird abgefragt wie neuartig und einzigartig eine Software ist. Existieren bereits vergleichbare Anwendungen oder stellt die Software eine neuartige Lösung für ein (bekanntes) Problem dar. 
Es geht hierbei nicht nur um Software die bereits auf dem Markt existiert, sondern auch um Software welche in anderen Einrichtungen entwickelt wird. </v>
      </c>
      <c r="U14" s="26"/>
      <c r="V14" s="54"/>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row>
    <row r="15" spans="1:62" ht="81" thickBot="1" x14ac:dyDescent="0.25">
      <c r="A15" s="184" t="s">
        <v>433</v>
      </c>
      <c r="B15" s="185" t="str">
        <f>VLOOKUP($A15,Fragenkatalog!$A$1:$L$53,MATCH(B$13,Fragenkatalog!$1:$1,0),FALSE)</f>
        <v>Ist die Software in Verwendung?</v>
      </c>
      <c r="C15" s="186" t="str">
        <f>_xlfn.CONCAT("Nein: ",VLOOKUP($A15,Fragenkatalog!$A$1:$L$53,MATCH(C$13,Fragenkatalog!$1:$1,0),FALSE))</f>
        <v>Nein: Es existiert maximal ein Proof of Concept (bis TRL 3).</v>
      </c>
      <c r="D15" s="186" t="str">
        <f>VLOOKUP($A15,Fragenkatalog!$A$1:$L$53,MATCH(D$13,Fragenkatalog!$1:$1,0),FALSE)</f>
        <v>Es existiert bereits ein Prototyp (TRL 4 - 6).</v>
      </c>
      <c r="E15" s="186" t="str">
        <f>_xlfn.CONCAT("Ja: ",VLOOKUP($A15,Fragenkatalog!$A$1:$L$53,MATCH(E$13,Fragenkatalog!$1:$1,0),FALSE))</f>
        <v>Ja: Die Software wurde erprobt und ist bereits im Einsatz (ab TRL 7).</v>
      </c>
      <c r="F15" s="83"/>
      <c r="G15" s="84"/>
      <c r="H15" s="84" t="s">
        <v>197</v>
      </c>
      <c r="I15" s="2">
        <f>IF(F15=LookupTabellen!$A$7,0,IFERROR(VLOOKUP(A15,Fragenkatalog!A:N,13,FALSE),""))</f>
        <v>2</v>
      </c>
      <c r="J15" s="2">
        <f>IF(OR(F15="",AND(G15="",F15&lt;&gt;LookupTabellen!$A$6,F15&lt;&gt;LookupTabellen!$A$7)),0,IFERROR(VLOOKUP(F15,LookupTabellen!$A$3:$B$7,2,FALSE)*VLOOKUP(A15,Fragenkatalog!A:N,13,FALSE),""))</f>
        <v>0</v>
      </c>
      <c r="K15" s="2">
        <f>IF(OR(F15="",AND(G15="",F15&lt;&gt;LookupTabellen!$A$6,F15&lt;&gt;LookupTabellen!$A$7)),0,IFERROR(VLOOKUP(F15,LookupTabellen!$A$3:$C$7,3,FALSE)*VLOOKUP(G15,LookupTabellen!$D$3:$F$5,3,FALSE)*VLOOKUP(A15,Fragenkatalog!A:N,13,FALSE),""))</f>
        <v>0</v>
      </c>
      <c r="L15" s="2">
        <f>IF(F15=LookupTabellen!$A$6,0,IFERROR(ABS(VLOOKUP(A15,Fragenkatalog!A:N,14,FALSE)),""))</f>
        <v>0.75</v>
      </c>
      <c r="M15" s="2" t="str">
        <f>IFERROR((IF(VLOOKUP(A15,Fragenkatalog!A:N,14,FALSE)&lt;0,-4,0)+VLOOKUP(F15,LookupTabellen!$A$3:$B$7,2,FALSE))*VLOOKUP(A15,Fragenkatalog!A:N,14,FALSE),"")</f>
        <v/>
      </c>
      <c r="N15" s="2">
        <f>IFERROR(VLOOKUP(G15,LookupTabellen!$D$3:$E$5,2,FALSE)*AND(H15&lt;&gt;"Antwort auswählen",F15&lt;&gt;LookupTabellen!$A$6,F15&lt;&gt;LookupTabellen!$A$7),0)</f>
        <v>0</v>
      </c>
      <c r="O15" s="1" t="str">
        <f>IF(F15=LookupTabellen!$A$3,IF(VLOOKUP($A15,Fragenkatalog!$A$1:$L$53,MATCH($C$13,Fragenkatalog!$1:$1,0),FALSE)=0,"",CONCATENATE(VLOOKUP(H15,LookupTabellen!$H$2:$I$3,2,FALSE),VLOOKUP($A15,Fragenkatalog!$A$1:$L$53,MATCH($C$13,Fragenkatalog!$1:$1,0),FALSE))),"")</f>
        <v/>
      </c>
      <c r="P15" s="2" t="str">
        <f>IF(O15="",IF(OR(F15=LookupTabellen!$A$6,F15="",G15=LookupTabellen!$D$3),IF(VLOOKUP($A15,Fragenkatalog!$A$1:$L$53,MATCH("Frage",Fragenkatalog!$1:$1,0),FALSE)=0,"",CONCATENATE(VLOOKUP(H15,LookupTabellen!$H$2:$I$3,2,FALSE),VLOOKUP($A15,Fragenkatalog!$A$1:$L$53,MATCH("Frage",Fragenkatalog!$1:$1,0),FALSE))),""),"")</f>
        <v>Ist die Software in Verwendung?</v>
      </c>
      <c r="Q15" s="186" t="str">
        <f>VLOOKUP($A15,Fragenkatalog!$A$1:$L$53,MATCH(Q$13,Fragenkatalog!$1:$1,0),FALSE)</f>
        <v>Gefragt ist, ob die Software bereits verwendet wird und falls ja, in welchem Maß. Für die Einteilung kann sich am Technology Readiness-Level (TRL) orientiert werden. Ist die Software bereits im Einsatz, sei es auch nur in einer Testumgebung (ab TRL 7), kann die Frage mit "Ja" beantwortet werden. Handelt es sich maximal nur um einen Prototypen (TRL 4 - 6), kann die mittlere Antwort gewählt werden. Wenn bis jetzt jedoch maximal ein Proof of Concept (bis TRL 3) besteht, sollte die Frage verneint werden.</v>
      </c>
      <c r="U15" s="26"/>
      <c r="V15" s="54"/>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row>
    <row r="16" spans="1:62" ht="81" thickBot="1" x14ac:dyDescent="0.25">
      <c r="A16" s="75" t="s">
        <v>434</v>
      </c>
      <c r="B16" s="76" t="str">
        <f>VLOOKUP($A16,Fragenkatalog!$A$1:$L$53,MATCH(B$13,Fragenkatalog!$1:$1,0),FALSE)</f>
        <v>Ist die Verwertung und/oder Entwicklung der Software machbar?</v>
      </c>
      <c r="C16" s="77" t="str">
        <f>_xlfn.CONCAT("Nein: ",VLOOKUP($A16,Fragenkatalog!$A$1:$L$53,MATCH(C$13,Fragenkatalog!$1:$1,0),FALSE))</f>
        <v>Nein: Die Wahrscheinlichkeit, dass die Entwicklung und/oder Verwertung abgebrochen werden muss, ist sehr hoch.</v>
      </c>
      <c r="D16" s="77" t="str">
        <f>VLOOKUP($A16,Fragenkatalog!$A$1:$L$53,MATCH(D$13,Fragenkatalog!$1:$1,0),FALSE)</f>
        <v>Es besteht die Möglichkeit, dass die Entwicklung abgebrochen werden muss, das Risiko dafür ist aber gering.</v>
      </c>
      <c r="E16" s="77" t="str">
        <f>_xlfn.CONCAT("Ja: ",VLOOKUP($A16,Fragenkatalog!$A$1:$L$53,MATCH(E$13,Fragenkatalog!$1:$1,0),FALSE))</f>
        <v>Ja: Eine erfolgreiche Verwertung ist sehr wahrscheinlich.</v>
      </c>
      <c r="F16" s="81"/>
      <c r="G16" s="82"/>
      <c r="H16" s="82" t="s">
        <v>197</v>
      </c>
      <c r="I16" s="2">
        <f>IF(F16=LookupTabellen!$A$7,0,IFERROR(VLOOKUP(A16,Fragenkatalog!A:N,13,FALSE),""))</f>
        <v>1</v>
      </c>
      <c r="J16" s="2">
        <f>IF(OR(F16="",AND(G16="",F16&lt;&gt;LookupTabellen!$A$6,F16&lt;&gt;LookupTabellen!$A$7)),0,IFERROR(VLOOKUP(F16,LookupTabellen!$A$3:$B$7,2,FALSE)*VLOOKUP(A16,Fragenkatalog!A:N,13,FALSE),""))</f>
        <v>0</v>
      </c>
      <c r="K16" s="2">
        <f>IF(OR(F16="",AND(G16="",F16&lt;&gt;LookupTabellen!$A$6,F16&lt;&gt;LookupTabellen!$A$7)),0,IFERROR(VLOOKUP(F16,LookupTabellen!$A$3:$C$7,3,FALSE)*VLOOKUP(G16,LookupTabellen!$D$3:$F$5,3,FALSE)*VLOOKUP(A16,Fragenkatalog!A:N,13,FALSE),""))</f>
        <v>0</v>
      </c>
      <c r="L16" s="2">
        <f>IF(F16=LookupTabellen!$A$6,0,IFERROR(ABS(VLOOKUP(A16,Fragenkatalog!A:N,14,FALSE)),""))</f>
        <v>0</v>
      </c>
      <c r="M16" s="2" t="str">
        <f>IFERROR((IF(VLOOKUP(A16,Fragenkatalog!A:N,14,FALSE)&lt;0,-4,0)+VLOOKUP(F16,LookupTabellen!$A$3:$B$7,2,FALSE))*VLOOKUP(A16,Fragenkatalog!A:N,14,FALSE),"")</f>
        <v/>
      </c>
      <c r="N16" s="2">
        <f>IFERROR(VLOOKUP(G16,LookupTabellen!$D$3:$E$5,2,FALSE)*AND(H16&lt;&gt;"Antwort auswählen",F16&lt;&gt;LookupTabellen!$A$6,F16&lt;&gt;LookupTabellen!$A$7),0)</f>
        <v>0</v>
      </c>
      <c r="O16" s="1" t="str">
        <f>IF(F16=LookupTabellen!$A$3,IF(VLOOKUP($A16,Fragenkatalog!$A$1:$L$53,MATCH($C$13,Fragenkatalog!$1:$1,0),FALSE)=0,"",CONCATENATE(VLOOKUP(H16,LookupTabellen!$H$2:$I$3,2,FALSE),VLOOKUP($A16,Fragenkatalog!$A$1:$L$53,MATCH($C$13,Fragenkatalog!$1:$1,0),FALSE))),"")</f>
        <v/>
      </c>
      <c r="P16" s="2" t="str">
        <f>IF(O16="",IF(OR(F16=LookupTabellen!$A$6,F16="",G16=LookupTabellen!$D$3),IF(VLOOKUP($A16,Fragenkatalog!$A$1:$L$53,MATCH("Frage",Fragenkatalog!$1:$1,0),FALSE)=0,"",CONCATENATE(VLOOKUP(H16,LookupTabellen!$H$2:$I$3,2,FALSE),VLOOKUP($A16,Fragenkatalog!$A$1:$L$53,MATCH("Frage",Fragenkatalog!$1:$1,0),FALSE))),""),"")</f>
        <v>Ist die Verwertung und/oder Entwicklung der Software machbar?</v>
      </c>
      <c r="Q16" s="78" t="str">
        <f>VLOOKUP($A16,Fragenkatalog!$A$1:$L$53,MATCH(Q$13,Fragenkatalog!$1:$1,0),FALSE)</f>
        <v xml:space="preserve">Um eine Software zu verwerten, sollte diese zum einen soweit fertiggestellt sein, um einen entsprechenden Verwertungsprozess durchlaufen zu können. Dabei können verschiedene Risiken auftreten, welche dafür sorgen können, dass es zu einem Abbruch der Entwicklung und Verwertung kommen kann. Hier soll daher abgeschätzt werden, wie wahrscheinlich es ist, dass die Software in ein fertiges Produkt weiterentwickelt werden kann. </v>
      </c>
      <c r="U16" s="26"/>
      <c r="V16" s="54"/>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row>
    <row r="17" spans="1:62" ht="65" thickBot="1" x14ac:dyDescent="0.25">
      <c r="A17" s="184" t="s">
        <v>436</v>
      </c>
      <c r="B17" s="185" t="str">
        <f>VLOOKUP($A17,Fragenkatalog!$A$1:$L$53,MATCH(B$13,Fragenkatalog!$1:$1,0),FALSE)</f>
        <v>Ist die Software ausreichend dokumentiert?</v>
      </c>
      <c r="C17" s="186" t="str">
        <f>_xlfn.CONCAT("Nein: ",VLOOKUP($A17,Fragenkatalog!$A$1:$L$53,MATCH(C$13,Fragenkatalog!$1:$1,0),FALSE))</f>
        <v>Nein: Die Software ist vollständig unkommentiert.</v>
      </c>
      <c r="D17" s="186" t="str">
        <f>VLOOKUP($A17,Fragenkatalog!$A$1:$L$53,MATCH(D$13,Fragenkatalog!$1:$1,0),FALSE)</f>
        <v>Die Dokumentation ist nicht hinreichend.</v>
      </c>
      <c r="E17" s="186" t="str">
        <f>_xlfn.CONCAT("Ja: ",VLOOKUP($A17,Fragenkatalog!$A$1:$L$53,MATCH(E$13,Fragenkatalog!$1:$1,0),FALSE))</f>
        <v>Ja: Die Dokumentation entspricht Standards.</v>
      </c>
      <c r="F17" s="83"/>
      <c r="G17" s="84"/>
      <c r="H17" s="84" t="s">
        <v>197</v>
      </c>
      <c r="I17" s="2">
        <f>IF(F17=LookupTabellen!$A$7,0,IFERROR(VLOOKUP(A17,Fragenkatalog!A:N,13,FALSE),""))</f>
        <v>1</v>
      </c>
      <c r="J17" s="2">
        <f>IF(OR(F17="",AND(G17="",F17&lt;&gt;LookupTabellen!$A$6,F17&lt;&gt;LookupTabellen!$A$7)),0,IFERROR(VLOOKUP(F17,LookupTabellen!$A$3:$B$7,2,FALSE)*VLOOKUP(A17,Fragenkatalog!A:N,13,FALSE),""))</f>
        <v>0</v>
      </c>
      <c r="K17" s="2">
        <f>IF(OR(F17="",AND(G17="",F17&lt;&gt;LookupTabellen!$A$6,F17&lt;&gt;LookupTabellen!$A$7)),0,IFERROR(VLOOKUP(F17,LookupTabellen!$A$3:$C$7,3,FALSE)*VLOOKUP(G17,LookupTabellen!$D$3:$F$5,3,FALSE)*VLOOKUP(A17,Fragenkatalog!A:N,13,FALSE),""))</f>
        <v>0</v>
      </c>
      <c r="L17" s="2">
        <f>IF(F17=LookupTabellen!$A$6,0,IFERROR(ABS(VLOOKUP(A17,Fragenkatalog!A:N,14,FALSE)),""))</f>
        <v>0.8</v>
      </c>
      <c r="M17" s="2" t="str">
        <f>IFERROR((IF(VLOOKUP(A17,Fragenkatalog!A:N,14,FALSE)&lt;0,-4,0)+VLOOKUP(F17,LookupTabellen!$A$3:$B$7,2,FALSE))*VLOOKUP(A17,Fragenkatalog!A:N,14,FALSE),"")</f>
        <v/>
      </c>
      <c r="N17" s="2">
        <f>IFERROR(VLOOKUP(G17,LookupTabellen!$D$3:$E$5,2,FALSE)*AND(H17&lt;&gt;"Antwort auswählen",F17&lt;&gt;LookupTabellen!$A$6,F17&lt;&gt;LookupTabellen!$A$7),0)</f>
        <v>0</v>
      </c>
      <c r="O17" s="1" t="str">
        <f>IF(F17=LookupTabellen!$A$3,IF(VLOOKUP($A17,Fragenkatalog!$A$1:$L$53,MATCH($C$13,Fragenkatalog!$1:$1,0),FALSE)=0,"",CONCATENATE(VLOOKUP(H17,LookupTabellen!$H$2:$I$3,2,FALSE),VLOOKUP($A17,Fragenkatalog!$A$1:$L$53,MATCH($C$13,Fragenkatalog!$1:$1,0),FALSE))),"")</f>
        <v/>
      </c>
      <c r="P17" s="2" t="str">
        <f>IF(O17="",IF(OR(F17=LookupTabellen!$A$6,F17="",G17=LookupTabellen!$D$3),IF(VLOOKUP($A17,Fragenkatalog!$A$1:$L$53,MATCH("Frage",Fragenkatalog!$1:$1,0),FALSE)=0,"",CONCATENATE(VLOOKUP(H17,LookupTabellen!$H$2:$I$3,2,FALSE),VLOOKUP($A17,Fragenkatalog!$A$1:$L$53,MATCH("Frage",Fragenkatalog!$1:$1,0),FALSE))),""),"")</f>
        <v>Ist die Software ausreichend dokumentiert?</v>
      </c>
      <c r="Q17" s="186" t="str">
        <f>VLOOKUP($A17,Fragenkatalog!$A$1:$L$53,MATCH(Q$13,Fragenkatalog!$1:$1,0),FALSE)</f>
        <v>Die ordentliche Dokumentation einer Software hinsichtlich des Quellcodes ist essenziell dafür, dass man auch in Zukunft diese noch warten und weiterentwickeln kann. Für die funktionelle Dokumentation kann es einrichtungsspezifische als auch allgemeine Standards (z.B. CleanCode) geben. (Hier wird nicht der Beitrag der Entwickler*inen - Wer hat was und wieviel beigetragen? - abgefragt).</v>
      </c>
      <c r="U17" s="26"/>
      <c r="V17" s="54"/>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row>
    <row r="18" spans="1:62" ht="65" thickBot="1" x14ac:dyDescent="0.25">
      <c r="A18" s="75" t="s">
        <v>435</v>
      </c>
      <c r="B18" s="76" t="str">
        <f>VLOOKUP($A18,Fragenkatalog!$A$1:$L$53,MATCH(B$13,Fragenkatalog!$1:$1,0),FALSE)</f>
        <v>Können alle externen Ressourcen wie gewünscht verwendet werden?</v>
      </c>
      <c r="C18" s="77" t="str">
        <f>_xlfn.CONCAT("Nein: ",VLOOKUP($A18,Fragenkatalog!$A$1:$L$53,MATCH(C$13,Fragenkatalog!$1:$1,0),FALSE))</f>
        <v>Nein: Es gibt Probleme bei der Verwendung externer Ressourcen.</v>
      </c>
      <c r="D18" s="77" t="str">
        <f>VLOOKUP($A18,Fragenkatalog!$A$1:$L$53,MATCH(D$13,Fragenkatalog!$1:$1,0),FALSE)</f>
        <v>Bestehende Probleme können geklärt werden.</v>
      </c>
      <c r="E18" s="77" t="str">
        <f>_xlfn.CONCAT("Ja: ",VLOOKUP($A18,Fragenkatalog!$A$1:$L$53,MATCH(E$13,Fragenkatalog!$1:$1,0),FALSE))</f>
        <v>Ja: Verwendung ist sichergestellt.</v>
      </c>
      <c r="F18" s="81"/>
      <c r="G18" s="82"/>
      <c r="H18" s="82" t="s">
        <v>197</v>
      </c>
      <c r="I18" s="2">
        <f>IF(F18=LookupTabellen!$A$7,0,IFERROR(VLOOKUP(A18,Fragenkatalog!A:N,13,FALSE),""))</f>
        <v>1</v>
      </c>
      <c r="J18" s="2">
        <f>IF(OR(F18="",AND(G18="",F18&lt;&gt;LookupTabellen!$A$6,F18&lt;&gt;LookupTabellen!$A$7)),0,IFERROR(VLOOKUP(F18,LookupTabellen!$A$3:$B$7,2,FALSE)*VLOOKUP(A18,Fragenkatalog!A:N,13,FALSE),""))</f>
        <v>0</v>
      </c>
      <c r="K18" s="2">
        <f>IF(OR(F18="",AND(G18="",F18&lt;&gt;LookupTabellen!$A$6,F18&lt;&gt;LookupTabellen!$A$7)),0,IFERROR(VLOOKUP(F18,LookupTabellen!$A$3:$C$7,3,FALSE)*VLOOKUP(G18,LookupTabellen!$D$3:$F$5,3,FALSE)*VLOOKUP(A18,Fragenkatalog!A:N,13,FALSE),""))</f>
        <v>0</v>
      </c>
      <c r="L18" s="2">
        <f>IF(F18=LookupTabellen!$A$6,0,IFERROR(ABS(VLOOKUP(A18,Fragenkatalog!A:N,14,FALSE)),""))</f>
        <v>0.5</v>
      </c>
      <c r="M18" s="2" t="str">
        <f>IFERROR((IF(VLOOKUP(A18,Fragenkatalog!A:N,14,FALSE)&lt;0,-4,0)+VLOOKUP(F18,LookupTabellen!$A$3:$B$7,2,FALSE))*VLOOKUP(A18,Fragenkatalog!A:N,14,FALSE),"")</f>
        <v/>
      </c>
      <c r="N18" s="2">
        <f>IFERROR(VLOOKUP(G18,LookupTabellen!$D$3:$E$5,2,FALSE)*AND(H18&lt;&gt;"Antwort auswählen",F18&lt;&gt;LookupTabellen!$A$6,F18&lt;&gt;LookupTabellen!$A$7),0)</f>
        <v>0</v>
      </c>
      <c r="O18" s="1" t="str">
        <f>IF(F18=LookupTabellen!$A$3,IF(VLOOKUP($A18,Fragenkatalog!$A$1:$L$53,MATCH($C$13,Fragenkatalog!$1:$1,0),FALSE)=0,"",CONCATENATE(VLOOKUP(H18,LookupTabellen!$H$2:$I$3,2,FALSE),VLOOKUP($A18,Fragenkatalog!$A$1:$L$53,MATCH($C$13,Fragenkatalog!$1:$1,0),FALSE))),"")</f>
        <v/>
      </c>
      <c r="P18" s="2" t="str">
        <f>IF(O18="",IF(OR(F18=LookupTabellen!$A$6,F18="",G18=LookupTabellen!$D$3),IF(VLOOKUP($A18,Fragenkatalog!$A$1:$L$53,MATCH("Frage",Fragenkatalog!$1:$1,0),FALSE)=0,"",CONCATENATE(VLOOKUP(H18,LookupTabellen!$H$2:$I$3,2,FALSE),VLOOKUP($A18,Fragenkatalog!$A$1:$L$53,MATCH("Frage",Fragenkatalog!$1:$1,0),FALSE))),""),"")</f>
        <v>Können alle externen Ressourcen wie gewünscht verwendet werden?</v>
      </c>
      <c r="Q18" s="78" t="str">
        <f>VLOOKUP($A18,Fragenkatalog!$A$1:$L$53,MATCH(Q$13,Fragenkatalog!$1:$1,0),FALSE)</f>
        <v>Benötigt eine Software für die Ausführung externe Assets (z.B. Module, Libraries, Assets, etc.) ist es wichtig, dass diese zum einen schon vorhanden sind und zum anderen auch im Falle einer Verwertung genutzt werden können. Daher wird hier abgefragt, ob alle Assets schon beschafft wurden und die Rechte (z.B. Nutzungsrechte) und Abhängigkeiten (z.B. Copyleft) für die weitere Verwendung geklärt wurden.</v>
      </c>
      <c r="U18" s="26"/>
      <c r="V18" s="54"/>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row>
    <row r="19" spans="1:62" ht="49" thickBot="1" x14ac:dyDescent="0.25">
      <c r="A19" s="184" t="s">
        <v>437</v>
      </c>
      <c r="B19" s="185" t="str">
        <f>VLOOKUP($A19,Fragenkatalog!$A$1:$L$53,MATCH(B$13,Fragenkatalog!$1:$1,0),FALSE)</f>
        <v>Kann die Software ohne spezielle Zulassungen verwertet werden?</v>
      </c>
      <c r="C19" s="186" t="str">
        <f>_xlfn.CONCAT("Nein: ",VLOOKUP($A19,Fragenkatalog!$A$1:$L$53,MATCH(C$13,Fragenkatalog!$1:$1,0),FALSE))</f>
        <v>Nein: Die Software erfordert spezielle Zulassungen.</v>
      </c>
      <c r="D19" s="186" t="str">
        <f>VLOOKUP($A19,Fragenkatalog!$A$1:$L$53,MATCH(D$13,Fragenkatalog!$1:$1,0),FALSE)</f>
        <v>Software benötigt keine Zulassungen, muss aber gewissen Standards erfüllen.</v>
      </c>
      <c r="E19" s="186" t="str">
        <f>_xlfn.CONCAT("Ja: ",VLOOKUP($A19,Fragenkatalog!$A$1:$L$53,MATCH(E$13,Fragenkatalog!$1:$1,0),FALSE))</f>
        <v>Ja: Kein Zulassungen oder Standards müssen eingehalten werden.</v>
      </c>
      <c r="F19" s="83"/>
      <c r="G19" s="84"/>
      <c r="H19" s="84" t="s">
        <v>197</v>
      </c>
      <c r="I19" s="2">
        <f>IF(F19=LookupTabellen!$A$7,0,IFERROR(VLOOKUP(A19,Fragenkatalog!A:N,13,FALSE),""))</f>
        <v>1</v>
      </c>
      <c r="J19" s="2">
        <f>IF(OR(F19="",AND(G19="",F19&lt;&gt;LookupTabellen!$A$6,F19&lt;&gt;LookupTabellen!$A$7)),0,IFERROR(VLOOKUP(F19,LookupTabellen!$A$3:$B$7,2,FALSE)*VLOOKUP(A19,Fragenkatalog!A:N,13,FALSE),""))</f>
        <v>0</v>
      </c>
      <c r="K19" s="2">
        <f>IF(OR(F19="",AND(G19="",F19&lt;&gt;LookupTabellen!$A$6,F19&lt;&gt;LookupTabellen!$A$7)),0,IFERROR(VLOOKUP(F19,LookupTabellen!$A$3:$C$7,3,FALSE)*VLOOKUP(G19,LookupTabellen!$D$3:$F$5,3,FALSE)*VLOOKUP(A19,Fragenkatalog!A:N,13,FALSE),""))</f>
        <v>0</v>
      </c>
      <c r="L19" s="2">
        <f>IF(F19=LookupTabellen!$A$6,0,IFERROR(ABS(VLOOKUP(A19,Fragenkatalog!A:N,14,FALSE)),""))</f>
        <v>0</v>
      </c>
      <c r="M19" s="2" t="str">
        <f>IFERROR((IF(VLOOKUP(A19,Fragenkatalog!A:N,14,FALSE)&lt;0,-4,0)+VLOOKUP(F19,LookupTabellen!$A$3:$B$7,2,FALSE))*VLOOKUP(A19,Fragenkatalog!A:N,14,FALSE),"")</f>
        <v/>
      </c>
      <c r="N19" s="2">
        <f>IFERROR(VLOOKUP(G19,LookupTabellen!$D$3:$E$5,2,FALSE)*AND(H19&lt;&gt;"Antwort auswählen",F19&lt;&gt;LookupTabellen!$A$6,F19&lt;&gt;LookupTabellen!$A$7),0)</f>
        <v>0</v>
      </c>
      <c r="O19" s="1" t="str">
        <f>IF(F19=LookupTabellen!$A$3,IF(VLOOKUP($A19,Fragenkatalog!$A$1:$L$53,MATCH($C$13,Fragenkatalog!$1:$1,0),FALSE)=0,"",CONCATENATE(VLOOKUP(H19,LookupTabellen!$H$2:$I$3,2,FALSE),VLOOKUP($A19,Fragenkatalog!$A$1:$L$53,MATCH($C$13,Fragenkatalog!$1:$1,0),FALSE))),"")</f>
        <v/>
      </c>
      <c r="P19" s="2" t="str">
        <f>IF(O19="",IF(OR(F19=LookupTabellen!$A$6,F19="",G19=LookupTabellen!$D$3),IF(VLOOKUP($A19,Fragenkatalog!$A$1:$L$53,MATCH("Frage",Fragenkatalog!$1:$1,0),FALSE)=0,"",CONCATENATE(VLOOKUP(H19,LookupTabellen!$H$2:$I$3,2,FALSE),VLOOKUP($A19,Fragenkatalog!$A$1:$L$53,MATCH("Frage",Fragenkatalog!$1:$1,0),FALSE))),""),"")</f>
        <v>Kann die Software ohne spezielle Zulassungen verwertet werden?</v>
      </c>
      <c r="Q19" s="186" t="str">
        <f>VLOOKUP($A19,Fragenkatalog!$A$1:$L$53,MATCH(Q$13,Fragenkatalog!$1:$1,0),FALSE)</f>
        <v>Für die Verwertung einer Software kann es sein, dass bestimmte Zulassungen, Standards oder Anforderungen erfüllt werden müssen. Das können zum Beispiel die Zulassung zum Medizinprodukt, Datenschutzverordnung oder Industriestandards sein.</v>
      </c>
      <c r="U19" s="26"/>
      <c r="V19" s="54"/>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row>
    <row r="20" spans="1:62" ht="97" thickBot="1" x14ac:dyDescent="0.25">
      <c r="A20" s="75" t="s">
        <v>438</v>
      </c>
      <c r="B20" s="76" t="str">
        <f>VLOOKUP($A20,Fragenkatalog!$A$1:$L$53,MATCH(B$13,Fragenkatalog!$1:$1,0),FALSE)</f>
        <v>Kann die Software für Umwelt, Mensch und/oder Gesellschaft unbedenklich verwendet werden?</v>
      </c>
      <c r="C20" s="77" t="str">
        <f>_xlfn.CONCAT("Nein: ",VLOOKUP($A20,Fragenkatalog!$A$1:$L$53,MATCH(C$13,Fragenkatalog!$1:$1,0),FALSE))</f>
        <v>Nein: Die Software hat einen schädlichen Nutzen.</v>
      </c>
      <c r="D20" s="77" t="str">
        <f>VLOOKUP($A20,Fragenkatalog!$A$1:$L$53,MATCH(D$13,Fragenkatalog!$1:$1,0),FALSE)</f>
        <v>Die Software kann zu gefährlichen Zwecken missbraucht werden.</v>
      </c>
      <c r="E20" s="77" t="str">
        <f>_xlfn.CONCAT("Ja: ",VLOOKUP($A20,Fragenkatalog!$A$1:$L$53,MATCH(E$13,Fragenkatalog!$1:$1,0),FALSE))</f>
        <v xml:space="preserve">Ja: Software ist unbedenklich.
</v>
      </c>
      <c r="F20" s="81"/>
      <c r="G20" s="82"/>
      <c r="H20" s="82" t="s">
        <v>197</v>
      </c>
      <c r="I20" s="2">
        <f>IF(F20=LookupTabellen!$A$7,0,IFERROR(VLOOKUP(A20,Fragenkatalog!A:N,13,FALSE),""))</f>
        <v>1</v>
      </c>
      <c r="J20" s="2">
        <f>IF(OR(F20="",AND(G20="",F20&lt;&gt;LookupTabellen!$A$6,F20&lt;&gt;LookupTabellen!$A$7)),0,IFERROR(VLOOKUP(F20,LookupTabellen!$A$3:$B$7,2,FALSE)*VLOOKUP(A20,Fragenkatalog!A:N,13,FALSE),""))</f>
        <v>0</v>
      </c>
      <c r="K20" s="2">
        <f>IF(OR(F20="",AND(G20="",F20&lt;&gt;LookupTabellen!$A$6,F20&lt;&gt;LookupTabellen!$A$7)),0,IFERROR(VLOOKUP(F20,LookupTabellen!$A$3:$C$7,3,FALSE)*VLOOKUP(G20,LookupTabellen!$D$3:$F$5,3,FALSE)*VLOOKUP(A20,Fragenkatalog!A:N,13,FALSE),""))</f>
        <v>0</v>
      </c>
      <c r="L20" s="2">
        <f>IF(F20=LookupTabellen!$A$6,0,IFERROR(ABS(VLOOKUP(A20,Fragenkatalog!A:N,14,FALSE)),""))</f>
        <v>0.4</v>
      </c>
      <c r="M20" s="2" t="str">
        <f>IFERROR((IF(VLOOKUP(A20,Fragenkatalog!A:N,14,FALSE)&lt;0,-4,0)+VLOOKUP(F20,LookupTabellen!$A$3:$B$7,2,FALSE))*VLOOKUP(A20,Fragenkatalog!A:N,14,FALSE),"")</f>
        <v/>
      </c>
      <c r="N20" s="2">
        <f>IFERROR(VLOOKUP(G20,LookupTabellen!$D$3:$E$5,2,FALSE)*AND(H20&lt;&gt;"Antwort auswählen",F20&lt;&gt;LookupTabellen!$A$6,F20&lt;&gt;LookupTabellen!$A$7),0)</f>
        <v>0</v>
      </c>
      <c r="O20" s="1" t="str">
        <f>IF(F20=LookupTabellen!$A$3,IF(VLOOKUP($A20,Fragenkatalog!$A$1:$L$53,MATCH($C$13,Fragenkatalog!$1:$1,0),FALSE)=0,"",CONCATENATE(VLOOKUP(H20,LookupTabellen!$H$2:$I$3,2,FALSE),VLOOKUP($A20,Fragenkatalog!$A$1:$L$53,MATCH($C$13,Fragenkatalog!$1:$1,0),FALSE))),"")</f>
        <v/>
      </c>
      <c r="P20" s="2" t="str">
        <f>IF(O20="",IF(OR(F20=LookupTabellen!$A$6,F20="",G20=LookupTabellen!$D$3),IF(VLOOKUP($A20,Fragenkatalog!$A$1:$L$53,MATCH("Frage",Fragenkatalog!$1:$1,0),FALSE)=0,"",CONCATENATE(VLOOKUP(H20,LookupTabellen!$H$2:$I$3,2,FALSE),VLOOKUP($A20,Fragenkatalog!$A$1:$L$53,MATCH("Frage",Fragenkatalog!$1:$1,0),FALSE))),""),"")</f>
        <v>Kann die Software für Umwelt, Mensch und/oder Gesellschaft unbedenklich verwendet werden?</v>
      </c>
      <c r="Q20" s="78" t="str">
        <f>VLOOKUP($A20,Fragenkatalog!$A$1:$L$53,MATCH(Q$13,Fragenkatalog!$1:$1,0),FALSE)</f>
        <v>DIe Software kann nach einer Veröffentlichung und Verwendung durchaus schädliche Auswirkungen für die Menschen, die Gesellschaft oder die Umwelt haben. Daher kann es gewünscht sein, diese nicht zu veröffentlichen. Dabei muss unterschieden werden, dass im Grunde jede Software missbraucht werden kann, aber nicht zwangsläufig als besonders gefährdent einzustufen ist. Vielmehr zielt die Frage zum Beispiel auf Software ab, die zur Steuerung von (u.a) Waffensystemen, zur Auswertung von Satellitenbildern, zur Sammlung und Auswertung von Personenbezogenen Daten, etc. abziehlt.</v>
      </c>
      <c r="U20" s="26"/>
      <c r="V20" s="54"/>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row>
    <row r="21" spans="1:62" ht="25" thickBot="1" x14ac:dyDescent="0.25">
      <c r="A21" s="51"/>
      <c r="B21" s="51"/>
      <c r="C21" s="51"/>
      <c r="D21" s="51"/>
      <c r="E21" s="187">
        <f>IFERROR(SUM(K14:K20)/SUM(I14:I20),0)</f>
        <v>0</v>
      </c>
      <c r="F21" s="188">
        <f>IFERROR(SUM(J14:J20)/SUM(I14:I20),0)</f>
        <v>0</v>
      </c>
      <c r="G21" s="188">
        <f>IFERROR(SUM(N14:N20)/(COUNTIF(F14:F20,"&lt;&gt;nicht relevant")),"Bewertung nicht möglich")</f>
        <v>0</v>
      </c>
      <c r="Q21" s="1"/>
      <c r="U21" s="26"/>
      <c r="V21" s="54"/>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row>
    <row r="22" spans="1:62" ht="17" thickBot="1" x14ac:dyDescent="0.25">
      <c r="A22" s="51"/>
      <c r="B22" s="51"/>
      <c r="C22" s="51"/>
      <c r="D22" s="51"/>
      <c r="E22" s="79" t="s">
        <v>465</v>
      </c>
      <c r="F22" s="79" t="s">
        <v>466</v>
      </c>
      <c r="G22" s="79" t="s">
        <v>192</v>
      </c>
      <c r="H22" s="51"/>
      <c r="I22" s="51"/>
      <c r="J22" s="51"/>
      <c r="K22" s="51"/>
      <c r="L22" s="51"/>
      <c r="M22" s="51"/>
      <c r="N22" s="51"/>
      <c r="O22" s="51"/>
      <c r="P22" s="51"/>
      <c r="Q22" s="51"/>
      <c r="U22" s="26"/>
      <c r="V22" s="54"/>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row>
    <row r="23" spans="1:62" ht="27" thickBot="1" x14ac:dyDescent="0.25">
      <c r="A23" s="189" t="s">
        <v>258</v>
      </c>
      <c r="B23" s="190"/>
      <c r="C23" s="190"/>
      <c r="D23" s="190"/>
      <c r="E23" s="190"/>
      <c r="F23" s="190"/>
      <c r="G23" s="190"/>
      <c r="H23" s="190"/>
      <c r="I23" s="190"/>
      <c r="J23" s="190"/>
      <c r="K23" s="190"/>
      <c r="L23" s="190"/>
      <c r="M23" s="190"/>
      <c r="N23" s="190"/>
      <c r="O23" s="190"/>
      <c r="P23" s="190"/>
      <c r="Q23" s="190"/>
      <c r="R23" s="54"/>
      <c r="S23" s="54"/>
      <c r="T23" s="54" t="str">
        <f>IF(F23=LookupTabellen!$A$3,IF(VLOOKUP($A23,Fragenkatalog!$A$1:$L$53,MATCH("Empfehlungen",Fragenkatalog!$1:$1,0),FALSE)=0,"",VLOOKUP($A23,Fragenkatalog!$A$1:$L$53,MATCH("Empfehlungen",Fragenkatalog!$1:$1,0),FALSE)),"")</f>
        <v/>
      </c>
      <c r="U23" s="54" t="str">
        <f>IF(G23=LookupTabellen!$D$3,IF(VLOOKUP($A23,Fragenkatalog!$A$1:$L$53,MATCH("Frage",Fragenkatalog!$1:$1,0),FALSE)=0,"",VLOOKUP($A23,Fragenkatalog!$A$1:$L$53,MATCH("Frage",Fragenkatalog!$1:$1,0),FALSE)),"")</f>
        <v/>
      </c>
      <c r="V23" s="54"/>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row>
    <row r="24" spans="1:62" ht="49" thickBot="1" x14ac:dyDescent="0.25">
      <c r="A24" s="191" t="s">
        <v>112</v>
      </c>
      <c r="B24" s="192" t="s">
        <v>113</v>
      </c>
      <c r="C24" s="192" t="s">
        <v>463</v>
      </c>
      <c r="D24" s="192" t="s">
        <v>325</v>
      </c>
      <c r="E24" s="192" t="s">
        <v>458</v>
      </c>
      <c r="F24" s="193" t="s">
        <v>196</v>
      </c>
      <c r="G24" s="193" t="s">
        <v>190</v>
      </c>
      <c r="H24" s="193" t="s">
        <v>122</v>
      </c>
      <c r="I24" s="194" t="s">
        <v>267</v>
      </c>
      <c r="J24" s="194" t="s">
        <v>459</v>
      </c>
      <c r="K24" s="194" t="s">
        <v>460</v>
      </c>
      <c r="L24" s="194" t="s">
        <v>266</v>
      </c>
      <c r="M24" s="194" t="s">
        <v>462</v>
      </c>
      <c r="N24" s="194" t="s">
        <v>464</v>
      </c>
      <c r="O24" s="194" t="s">
        <v>307</v>
      </c>
      <c r="P24" s="194" t="s">
        <v>265</v>
      </c>
      <c r="Q24" s="192" t="s">
        <v>115</v>
      </c>
      <c r="U24" s="26"/>
      <c r="V24" s="54"/>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row>
    <row r="25" spans="1:62" ht="65" thickBot="1" x14ac:dyDescent="0.25">
      <c r="A25" s="75" t="s">
        <v>439</v>
      </c>
      <c r="B25" s="76" t="str">
        <f>VLOOKUP($A25,Fragenkatalog!$A$1:$L$53,MATCH(B$24,Fragenkatalog!$1:$1,0),FALSE)</f>
        <v>Ist das Entwicklerteam bereit, stark bei der Verwertung zu unterstützen?</v>
      </c>
      <c r="C25" s="77" t="str">
        <f>_xlfn.CONCAT("Nein: ",VLOOKUP($A25,Fragenkatalog!$A$1:$L$53,MATCH(C$13,Fragenkatalog!$1:$1,0),FALSE))</f>
        <v>Nein: Das Entwicklerteam will die Software nicht verwerten.</v>
      </c>
      <c r="D25" s="77" t="str">
        <f>VLOOKUP($A25,Fragenkatalog!$A$1:$L$53,MATCH(D$13,Fragenkatalog!$1:$1,0),FALSE)</f>
        <v>Das Entwicklerteam will Software noch fertigstellen aber nicht verwerten</v>
      </c>
      <c r="E25" s="77" t="str">
        <f>_xlfn.CONCAT("Ja: ",VLOOKUP($A25,Fragenkatalog!$A$1:$L$53,MATCH(E$13,Fragenkatalog!$1:$1,0),FALSE))</f>
        <v>Ja: Das Entwicklerteam will bei der Verwertung mitarbeiten.</v>
      </c>
      <c r="F25" s="81"/>
      <c r="G25" s="82"/>
      <c r="H25" s="82" t="s">
        <v>197</v>
      </c>
      <c r="I25" s="2">
        <f>IF(F25=LookupTabellen!$A$7,0,IFERROR(VLOOKUP(A25,Fragenkatalog!A:N,13,FALSE),""))</f>
        <v>1</v>
      </c>
      <c r="J25" s="2">
        <f>IF(OR(F25="",AND(G25="",F25&lt;&gt;LookupTabellen!$A$6,F25&lt;&gt;LookupTabellen!$A$7)),0,IFERROR(VLOOKUP(F25,LookupTabellen!$A$3:$B$7,2,FALSE)*VLOOKUP(A25,Fragenkatalog!A:N,13,FALSE),""))</f>
        <v>0</v>
      </c>
      <c r="K25" s="2">
        <f>IF(OR(F25="",AND(G25="",F25&lt;&gt;LookupTabellen!$A$6,F25&lt;&gt;LookupTabellen!$A$7)),0,IFERROR(VLOOKUP(F25,LookupTabellen!$A$3:$C$7,3,FALSE)*VLOOKUP(G25,LookupTabellen!$D$3:$F$5,3,FALSE)*VLOOKUP(A25,Fragenkatalog!A:N,13,FALSE),""))</f>
        <v>0</v>
      </c>
      <c r="L25" s="2">
        <f>IF(F25=LookupTabellen!$A$6,0,IFERROR(ABS(VLOOKUP(A25,Fragenkatalog!A:N,14,FALSE)),""))</f>
        <v>0.8</v>
      </c>
      <c r="M25" s="2" t="str">
        <f>IFERROR((IF(VLOOKUP(A25,Fragenkatalog!A:N,14,FALSE)&lt;0,-4,0)+VLOOKUP(F25,LookupTabellen!$A$3:$B$7,2,FALSE))*VLOOKUP(A25,Fragenkatalog!A:N,14,FALSE),"")</f>
        <v/>
      </c>
      <c r="N25" s="2">
        <f>IFERROR(VLOOKUP(G25,LookupTabellen!$D$3:$E$5,2,FALSE)*AND(H25&lt;&gt;"Antwort auswählen",F25&lt;&gt;LookupTabellen!$A$6,F25&lt;&gt;LookupTabellen!$A$7),0)</f>
        <v>0</v>
      </c>
      <c r="O25" s="1" t="str">
        <f>IF(F25=LookupTabellen!$A$3,IF(VLOOKUP($A25,Fragenkatalog!$A$1:$L$53,MATCH($C$13,Fragenkatalog!$1:$1,0),FALSE)=0,"",CONCATENATE(VLOOKUP(H25,LookupTabellen!$H$2:$I$3,2,FALSE),VLOOKUP($A25,Fragenkatalog!$A$1:$L$53,MATCH($C$13,Fragenkatalog!$1:$1,0),FALSE))),"")</f>
        <v/>
      </c>
      <c r="P25" s="2" t="str">
        <f>IF(O25="",IF(OR(F25=LookupTabellen!$A$6,F25="",G25=LookupTabellen!$D$3),IF(VLOOKUP($A25,Fragenkatalog!$A$1:$L$53,MATCH("Frage",Fragenkatalog!$1:$1,0),FALSE)=0,"",CONCATENATE(VLOOKUP(H25,LookupTabellen!$H$2:$I$3,2,FALSE),VLOOKUP($A25,Fragenkatalog!$A$1:$L$53,MATCH("Frage",Fragenkatalog!$1:$1,0),FALSE))),""),"")</f>
        <v>Ist das Entwicklerteam bereit, stark bei der Verwertung zu unterstützen?</v>
      </c>
      <c r="Q25" s="78" t="str">
        <f>VLOOKUP($A25,Fragenkatalog!$A$1:$L$53,MATCH(Q$13,Fragenkatalog!$1:$1,0),FALSE)</f>
        <v>Wie weit sind die Entwickler*inen bereit bei der Verwertung mitzuarbeiten. Je nach Entwicklungsstand kann das schon bei der Fertigstellung der Software (idealerweise bis hin zum fertigen Produkt) beinhalten. Ansonsten wird hier die Mitarbeit bei der Verwertung selbst (z.B. auch in Form eines Start-Ups), oder für weiterreichende Aufgaben wie Wartung, Support, Beratung, etc. abgefragt.</v>
      </c>
      <c r="U25" s="26"/>
      <c r="V25" s="54"/>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row>
    <row r="26" spans="1:62" ht="81" thickBot="1" x14ac:dyDescent="0.25">
      <c r="A26" s="195" t="s">
        <v>440</v>
      </c>
      <c r="B26" s="196" t="str">
        <f>VLOOKUP($A26,Fragenkatalog!$A$1:$L$53,MATCH(B$24,Fragenkatalog!$1:$1,0),FALSE)</f>
        <v>Zeigt das Entwicklerteam Kompromissbereitschaft und hat realistische Erwartungen im Bezug auf eine angestrebte Verwertung?</v>
      </c>
      <c r="C26" s="197" t="str">
        <f>_xlfn.CONCAT("Nein: ",VLOOKUP($A26,Fragenkatalog!$A$1:$L$53,MATCH(C$13,Fragenkatalog!$1:$1,0),FALSE))</f>
        <v>Nein: Die Entwickler beharren auf ihrer Position.</v>
      </c>
      <c r="D26" s="197" t="str">
        <f>VLOOKUP($A26,Fragenkatalog!$A$1:$L$53,MATCH(D$24,Fragenkatalog!$1:$1,0),FALSE)</f>
        <v>Das Entwicklerteam hat gegensätzliche oder unrealistische Erwartungen, ist aber kompromissbereit.</v>
      </c>
      <c r="E26" s="197" t="str">
        <f>_xlfn.CONCAT("Ja: ",VLOOKUP($A26,Fragenkatalog!$A$1:$L$53,MATCH(E$13,Fragenkatalog!$1:$1,0),FALSE))</f>
        <v>Ja: Das Entwicklerteam hat realistische Erwartungen hinsichtlich einerVerwertung.</v>
      </c>
      <c r="F26" s="85"/>
      <c r="G26" s="86"/>
      <c r="H26" s="86" t="s">
        <v>197</v>
      </c>
      <c r="I26" s="2">
        <f>IF(F26=LookupTabellen!$A$7,0,IFERROR(VLOOKUP(A26,Fragenkatalog!A:N,13,FALSE),""))</f>
        <v>1</v>
      </c>
      <c r="J26" s="2">
        <f>IF(OR(F26="",AND(G26="",F26&lt;&gt;LookupTabellen!$A$6,F26&lt;&gt;LookupTabellen!$A$7)),0,IFERROR(VLOOKUP(F26,LookupTabellen!$A$3:$B$7,2,FALSE)*VLOOKUP(A26,Fragenkatalog!A:N,13,FALSE),""))</f>
        <v>0</v>
      </c>
      <c r="K26" s="2">
        <f>IF(OR(F26="",AND(G26="",F26&lt;&gt;LookupTabellen!$A$6,F26&lt;&gt;LookupTabellen!$A$7)),0,IFERROR(VLOOKUP(F26,LookupTabellen!$A$3:$C$7,3,FALSE)*VLOOKUP(G26,LookupTabellen!$D$3:$F$5,3,FALSE)*VLOOKUP(A26,Fragenkatalog!A:N,13,FALSE),""))</f>
        <v>0</v>
      </c>
      <c r="L26" s="2">
        <f>IF(F26=LookupTabellen!$A$6,0,IFERROR(ABS(VLOOKUP(A26,Fragenkatalog!A:N,14,FALSE)),""))</f>
        <v>1</v>
      </c>
      <c r="M26" s="2" t="str">
        <f>IFERROR((IF(VLOOKUP(A26,Fragenkatalog!A:N,14,FALSE)&lt;0,-4,0)+VLOOKUP(F26,LookupTabellen!$A$3:$B$7,2,FALSE))*VLOOKUP(A26,Fragenkatalog!A:N,14,FALSE),"")</f>
        <v/>
      </c>
      <c r="N26" s="2">
        <f>IFERROR(VLOOKUP(G26,LookupTabellen!$D$3:$E$5,2,FALSE)*AND(H26&lt;&gt;"Antwort auswählen",F26&lt;&gt;LookupTabellen!$A$6,F26&lt;&gt;LookupTabellen!$A$7),0)</f>
        <v>0</v>
      </c>
      <c r="O26" s="1" t="str">
        <f>IF(F26=LookupTabellen!$A$3,IF(VLOOKUP($A26,Fragenkatalog!$A$1:$L$53,MATCH($C$13,Fragenkatalog!$1:$1,0),FALSE)=0,"",CONCATENATE(VLOOKUP(H26,LookupTabellen!$H$2:$I$3,2,FALSE),VLOOKUP($A26,Fragenkatalog!$A$1:$L$53,MATCH($C$13,Fragenkatalog!$1:$1,0),FALSE))),"")</f>
        <v/>
      </c>
      <c r="P26" s="2" t="str">
        <f>IF(O26="",IF(OR(F26=LookupTabellen!$A$6,F26="",G26=LookupTabellen!$D$3),IF(VLOOKUP($A26,Fragenkatalog!$A$1:$L$53,MATCH("Frage",Fragenkatalog!$1:$1,0),FALSE)=0,"",CONCATENATE(VLOOKUP(H26,LookupTabellen!$H$2:$I$3,2,FALSE),VLOOKUP($A26,Fragenkatalog!$A$1:$L$53,MATCH("Frage",Fragenkatalog!$1:$1,0),FALSE))),""),"")</f>
        <v>Zeigt das Entwicklerteam Kompromissbereitschaft und hat realistische Erwartungen im Bezug auf eine angestrebte Verwertung?</v>
      </c>
      <c r="Q26" s="197" t="str">
        <f>VLOOKUP($A26,Fragenkatalog!$A$1:$L$53,MATCH(Q$24,Fragenkatalog!$1:$1,0),FALSE)</f>
        <v>Die Erwartungen, die Entwickler an die Verwertung einer Software haben, können sehr stark variieren. Sie können zum einen auf eine reine Open Source-Verwertung bestehen oder zum anderen erwarten mit der Software einen großen Gewinn zu erzielen. Daher muss bei der Bewertung abgeschätzt werden, ob die Erwartungen realistisch sind bzw. zu Problemen führen können und wie die groß die Kompromissbereitschaft im Entwicklerteam ist.</v>
      </c>
      <c r="U26" s="26"/>
      <c r="V26" s="54"/>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row>
    <row r="27" spans="1:62" ht="33" thickBot="1" x14ac:dyDescent="0.25">
      <c r="A27" s="75" t="s">
        <v>441</v>
      </c>
      <c r="B27" s="76" t="str">
        <f>VLOOKUP($A27,Fragenkatalog!$A$1:$L$53,MATCH(B$24,Fragenkatalog!$1:$1,0),FALSE)</f>
        <v>Sind alle Fragen der Autorenschaft geklärt?</v>
      </c>
      <c r="C27" s="77" t="str">
        <f>_xlfn.CONCAT("Nein: ",VLOOKUP($A27,Fragenkatalog!$A$1:$L$53,MATCH(C$13,Fragenkatalog!$1:$1,0),FALSE))</f>
        <v>Nein: Es gibt noch offene Streitpunkte.</v>
      </c>
      <c r="D27" s="77" t="str">
        <f>VLOOKUP($A27,Fragenkatalog!$A$1:$L$53,MATCH(D$24,Fragenkatalog!$1:$1,0),FALSE)</f>
        <v>Offene Punkte lassen sich klären.</v>
      </c>
      <c r="E27" s="77" t="str">
        <f>_xlfn.CONCAT("Ja: ",VLOOKUP($A27,Fragenkatalog!$A$1:$L$53,MATCH(E$13,Fragenkatalog!$1:$1,0),FALSE))</f>
        <v>Ja: Alle Fragen sind geklärt.</v>
      </c>
      <c r="F27" s="81"/>
      <c r="G27" s="82"/>
      <c r="H27" s="82" t="s">
        <v>197</v>
      </c>
      <c r="I27" s="2">
        <f>IF(F27=LookupTabellen!$A$7,0,IFERROR(VLOOKUP(A27,Fragenkatalog!A:N,13,FALSE),""))</f>
        <v>1</v>
      </c>
      <c r="J27" s="2">
        <f>IF(OR(F27="",AND(G27="",F27&lt;&gt;LookupTabellen!$A$6,F27&lt;&gt;LookupTabellen!$A$7)),0,IFERROR(VLOOKUP(F27,LookupTabellen!$A$3:$B$7,2,FALSE)*VLOOKUP(A27,Fragenkatalog!A:N,13,FALSE),""))</f>
        <v>0</v>
      </c>
      <c r="K27" s="2">
        <f>IF(OR(F27="",AND(G27="",F27&lt;&gt;LookupTabellen!$A$6,F27&lt;&gt;LookupTabellen!$A$7)),0,IFERROR(VLOOKUP(F27,LookupTabellen!$A$3:$C$7,3,FALSE)*VLOOKUP(G27,LookupTabellen!$D$3:$F$5,3,FALSE)*VLOOKUP(A27,Fragenkatalog!A:N,13,FALSE),""))</f>
        <v>0</v>
      </c>
      <c r="L27" s="2">
        <f>IF(F27=LookupTabellen!$A$6,0,IFERROR(ABS(VLOOKUP(A27,Fragenkatalog!A:N,14,FALSE)),""))</f>
        <v>0.75</v>
      </c>
      <c r="M27" s="2" t="str">
        <f>IFERROR((IF(VLOOKUP(A27,Fragenkatalog!A:N,14,FALSE)&lt;0,-4,0)+VLOOKUP(F27,LookupTabellen!$A$3:$B$7,2,FALSE))*VLOOKUP(A27,Fragenkatalog!A:N,14,FALSE),"")</f>
        <v/>
      </c>
      <c r="N27" s="2">
        <f>IFERROR(VLOOKUP(G27,LookupTabellen!$D$3:$E$5,2,FALSE)*AND(H27&lt;&gt;"Antwort auswählen",F27&lt;&gt;LookupTabellen!$A$6,F27&lt;&gt;LookupTabellen!$A$7),0)</f>
        <v>0</v>
      </c>
      <c r="O27" s="1" t="str">
        <f>IF(F27=LookupTabellen!$A$3,IF(VLOOKUP($A27,Fragenkatalog!$A$1:$L$53,MATCH($C$13,Fragenkatalog!$1:$1,0),FALSE)=0,"",CONCATENATE(VLOOKUP(H27,LookupTabellen!$H$2:$I$3,2,FALSE),VLOOKUP($A27,Fragenkatalog!$A$1:$L$53,MATCH($C$13,Fragenkatalog!$1:$1,0),FALSE))),"")</f>
        <v/>
      </c>
      <c r="P27" s="2" t="str">
        <f>IF(O27="",IF(OR(F27=LookupTabellen!$A$6,F27="",G27=LookupTabellen!$D$3),IF(VLOOKUP($A27,Fragenkatalog!$A$1:$L$53,MATCH("Frage",Fragenkatalog!$1:$1,0),FALSE)=0,"",CONCATENATE(VLOOKUP(H27,LookupTabellen!$H$2:$I$3,2,FALSE),VLOOKUP($A27,Fragenkatalog!$A$1:$L$53,MATCH("Frage",Fragenkatalog!$1:$1,0),FALSE))),""),"")</f>
        <v>Sind alle Fragen der Autorenschaft geklärt?</v>
      </c>
      <c r="Q27" s="78" t="str">
        <f>VLOOKUP($A27,Fragenkatalog!$A$1:$L$53,MATCH(Q$24,Fragenkatalog!$1:$1,0),FALSE)</f>
        <v>Zu den Fragen der Autorenschaft zählen beispielweise: Wer sind die involvierte Entwickler? Wie groß sind die einzelnen Beiträge? Wurde die Vergütung geregelt, etc.</v>
      </c>
      <c r="U27" s="26"/>
      <c r="V27" s="54"/>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row>
    <row r="28" spans="1:62" ht="81" thickBot="1" x14ac:dyDescent="0.25">
      <c r="A28" s="195" t="s">
        <v>442</v>
      </c>
      <c r="B28" s="196" t="str">
        <f>VLOOKUP($A28,Fragenkatalog!$A$1:$L$53,MATCH(B$24,Fragenkatalog!$1:$1,0),FALSE)</f>
        <v>Ist die Autorenschaft gut dokumentiert?</v>
      </c>
      <c r="C28" s="197" t="str">
        <f>_xlfn.CONCAT("Nein: ",VLOOKUP($A28,Fragenkatalog!$A$1:$L$53,MATCH(C$13,Fragenkatalog!$1:$1,0),FALSE))</f>
        <v>Nein: Es exisitiert keinerlei Dokumentation der Autorenschaft.</v>
      </c>
      <c r="D28" s="197" t="str">
        <f>VLOOKUP($A28,Fragenkatalog!$A$1:$L$53,MATCH(D$24,Fragenkatalog!$1:$1,0),FALSE)</f>
        <v>Autorenschaft geht aus schriftlicher Kommunikation hervor.</v>
      </c>
      <c r="E28" s="197" t="str">
        <f>_xlfn.CONCAT("Ja: ",VLOOKUP($A28,Fragenkatalog!$A$1:$L$53,MATCH(E$13,Fragenkatalog!$1:$1,0),FALSE))</f>
        <v>Ja: Eine ausreichende und verständliche Dokumentation liegt vor.</v>
      </c>
      <c r="F28" s="85"/>
      <c r="G28" s="86"/>
      <c r="H28" s="86" t="s">
        <v>197</v>
      </c>
      <c r="I28" s="2">
        <f>IF(F28=LookupTabellen!$A$7,0,IFERROR(VLOOKUP(A28,Fragenkatalog!A:N,13,FALSE),""))</f>
        <v>1</v>
      </c>
      <c r="J28" s="2">
        <f>IF(OR(F28="",AND(G28="",F28&lt;&gt;LookupTabellen!$A$6,F28&lt;&gt;LookupTabellen!$A$7)),0,IFERROR(VLOOKUP(F28,LookupTabellen!$A$3:$B$7,2,FALSE)*VLOOKUP(A28,Fragenkatalog!A:N,13,FALSE),""))</f>
        <v>0</v>
      </c>
      <c r="K28" s="2">
        <f>IF(OR(F28="",AND(G28="",F28&lt;&gt;LookupTabellen!$A$6,F28&lt;&gt;LookupTabellen!$A$7)),0,IFERROR(VLOOKUP(F28,LookupTabellen!$A$3:$C$7,3,FALSE)*VLOOKUP(G28,LookupTabellen!$D$3:$F$5,3,FALSE)*VLOOKUP(A28,Fragenkatalog!A:N,13,FALSE),""))</f>
        <v>0</v>
      </c>
      <c r="L28" s="2">
        <f>IF(F28=LookupTabellen!$A$6,0,IFERROR(ABS(VLOOKUP(A28,Fragenkatalog!A:N,14,FALSE)),""))</f>
        <v>0.85</v>
      </c>
      <c r="M28" s="2" t="str">
        <f>IFERROR((IF(VLOOKUP(A28,Fragenkatalog!A:N,14,FALSE)&lt;0,-4,0)+VLOOKUP(F28,LookupTabellen!$A$3:$B$7,2,FALSE))*VLOOKUP(A28,Fragenkatalog!A:N,14,FALSE),"")</f>
        <v/>
      </c>
      <c r="N28" s="2">
        <f>IFERROR(VLOOKUP(G28,LookupTabellen!$D$3:$E$5,2,FALSE)*AND(H28&lt;&gt;"Antwort auswählen",F28&lt;&gt;LookupTabellen!$A$6,F28&lt;&gt;LookupTabellen!$A$7),0)</f>
        <v>0</v>
      </c>
      <c r="O28" s="1" t="str">
        <f>IF(F28=LookupTabellen!$A$3,IF(VLOOKUP($A28,Fragenkatalog!$A$1:$L$53,MATCH($C$13,Fragenkatalog!$1:$1,0),FALSE)=0,"",CONCATENATE(VLOOKUP(H28,LookupTabellen!$H$2:$I$3,2,FALSE),VLOOKUP($A28,Fragenkatalog!$A$1:$L$53,MATCH($C$13,Fragenkatalog!$1:$1,0),FALSE))),"")</f>
        <v/>
      </c>
      <c r="P28" s="2" t="str">
        <f>IF(O28="",IF(OR(F28=LookupTabellen!$A$6,F28="",G28=LookupTabellen!$D$3),IF(VLOOKUP($A28,Fragenkatalog!$A$1:$L$53,MATCH("Frage",Fragenkatalog!$1:$1,0),FALSE)=0,"",CONCATENATE(VLOOKUP(H28,LookupTabellen!$H$2:$I$3,2,FALSE),VLOOKUP($A28,Fragenkatalog!$A$1:$L$53,MATCH("Frage",Fragenkatalog!$1:$1,0),FALSE))),""),"")</f>
        <v>Ist die Autorenschaft gut dokumentiert?</v>
      </c>
      <c r="Q28" s="197" t="str">
        <f>VLOOKUP($A28,Fragenkatalog!$A$1:$L$53,MATCH(Q$24,Fragenkatalog!$1:$1,0),FALSE)</f>
        <v>Geht aus der Dokumentation hervor, wer an der Entwicklung beteiligt war/ist und wie groß der jeweilige Anteil/Beitrag zur Software war/ist? Hierbei ist auch die Form der Dokumentation entscheidend. Existieren lediglich mündliche Absprachen, so ist das nicht als"gut" zu bewerten. Besser wäre es, wenn zumindestens aus  schrifftlicher Kommunikation hervorgeht, wer was gemacht hat. Eine gute Dokumentation kann zum Beispiel in Form von Repository vorliegen.</v>
      </c>
      <c r="U28" s="26"/>
      <c r="V28" s="54"/>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row>
    <row r="29" spans="1:62" ht="49" thickBot="1" x14ac:dyDescent="0.25">
      <c r="A29" s="75" t="s">
        <v>443</v>
      </c>
      <c r="B29" s="76" t="str">
        <f>VLOOKUP($A29,Fragenkatalog!$A$1:$L$53,MATCH(B$24,Fragenkatalog!$1:$1,0),FALSE)</f>
        <v>Verfügt das Entwicklerteam über ausreichende Kapazitäten für die weitere Verwertung?</v>
      </c>
      <c r="C29" s="77" t="str">
        <f>_xlfn.CONCAT("Nein: ",VLOOKUP($A29,Fragenkatalog!$A$1:$L$53,MATCH(C$13,Fragenkatalog!$1:$1,0),FALSE))</f>
        <v>Nein: Es fehlend sowohl Zeit und Geld.</v>
      </c>
      <c r="D29" s="77" t="str">
        <f>VLOOKUP($A29,Fragenkatalog!$A$1:$L$53,MATCH(D$24,Fragenkatalog!$1:$1,0),FALSE)</f>
        <v>Es fehlt entweder Geld oder Zeit.</v>
      </c>
      <c r="E29" s="77" t="str">
        <f>_xlfn.CONCAT("Ja: ",VLOOKUP($A29,Fragenkatalog!$A$1:$L$53,MATCH(E$13,Fragenkatalog!$1:$1,0),FALSE))</f>
        <v>Ja: Es sind ausreichend Kapazitäten vorhanden.</v>
      </c>
      <c r="F29" s="81"/>
      <c r="G29" s="82"/>
      <c r="H29" s="82" t="s">
        <v>197</v>
      </c>
      <c r="I29" s="2">
        <f>IF(F29=LookupTabellen!$A$7,0,IFERROR(VLOOKUP(A29,Fragenkatalog!A:N,13,FALSE),""))</f>
        <v>1</v>
      </c>
      <c r="J29" s="2">
        <f>IF(OR(F29="",AND(G29="",F29&lt;&gt;LookupTabellen!$A$6,F29&lt;&gt;LookupTabellen!$A$7)),0,IFERROR(VLOOKUP(F29,LookupTabellen!$A$3:$B$7,2,FALSE)*VLOOKUP(A29,Fragenkatalog!A:N,13,FALSE),""))</f>
        <v>0</v>
      </c>
      <c r="K29" s="2">
        <f>IF(OR(F29="",AND(G29="",F29&lt;&gt;LookupTabellen!$A$6,F29&lt;&gt;LookupTabellen!$A$7)),0,IFERROR(VLOOKUP(F29,LookupTabellen!$A$3:$C$7,3,FALSE)*VLOOKUP(G29,LookupTabellen!$D$3:$F$5,3,FALSE)*VLOOKUP(A29,Fragenkatalog!A:N,13,FALSE),""))</f>
        <v>0</v>
      </c>
      <c r="L29" s="2">
        <f>IF(F29=LookupTabellen!$A$6,0,IFERROR(ABS(VLOOKUP(A29,Fragenkatalog!A:N,14,FALSE)),""))</f>
        <v>0.85</v>
      </c>
      <c r="M29" s="2" t="str">
        <f>IFERROR((IF(VLOOKUP(A29,Fragenkatalog!A:N,14,FALSE)&lt;0,-4,0)+VLOOKUP(F29,LookupTabellen!$A$3:$B$7,2,FALSE))*VLOOKUP(A29,Fragenkatalog!A:N,14,FALSE),"")</f>
        <v/>
      </c>
      <c r="N29" s="2">
        <f>IFERROR(VLOOKUP(G29,LookupTabellen!$D$3:$E$5,2,FALSE)*AND(H29&lt;&gt;"Antwort auswählen",F29&lt;&gt;LookupTabellen!$A$6,F29&lt;&gt;LookupTabellen!$A$7),0)</f>
        <v>0</v>
      </c>
      <c r="O29" s="1" t="str">
        <f>IF(F29=LookupTabellen!$A$3,IF(VLOOKUP($A29,Fragenkatalog!$A$1:$L$53,MATCH($C$13,Fragenkatalog!$1:$1,0),FALSE)=0,"",CONCATENATE(VLOOKUP(H29,LookupTabellen!$H$2:$I$3,2,FALSE),VLOOKUP($A29,Fragenkatalog!$A$1:$L$53,MATCH($C$13,Fragenkatalog!$1:$1,0),FALSE))),"")</f>
        <v/>
      </c>
      <c r="P29" s="2" t="str">
        <f>IF(O29="",IF(OR(F29=LookupTabellen!$A$6,F29="",G29=LookupTabellen!$D$3),IF(VLOOKUP($A29,Fragenkatalog!$A$1:$L$53,MATCH("Frage",Fragenkatalog!$1:$1,0),FALSE)=0,"",CONCATENATE(VLOOKUP(H29,LookupTabellen!$H$2:$I$3,2,FALSE),VLOOKUP($A29,Fragenkatalog!$A$1:$L$53,MATCH("Frage",Fragenkatalog!$1:$1,0),FALSE))),""),"")</f>
        <v>Verfügt das Entwicklerteam über ausreichende Kapazitäten für die weitere Verwertung?</v>
      </c>
      <c r="Q29" s="78" t="str">
        <f>VLOOKUP($A29,Fragenkatalog!$A$1:$L$53,MATCH(Q$24,Fragenkatalog!$1:$1,0),FALSE)</f>
        <v>Kapazitäten sind sowohl Zeit und auch Geld, die dem Team für die Entwicklung und Verwertung zur Verfügung stehen.</v>
      </c>
      <c r="U29" s="26"/>
      <c r="V29" s="54"/>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row>
    <row r="30" spans="1:62" ht="49" thickBot="1" x14ac:dyDescent="0.25">
      <c r="A30" s="195" t="s">
        <v>444</v>
      </c>
      <c r="B30" s="196" t="str">
        <f>VLOOKUP($A30,Fragenkatalog!$A$1:$L$53,MATCH(B$24,Fragenkatalog!$1:$1,0),FALSE)</f>
        <v>Verfügt das Entwicklerteam über die notwendigen Kompetenzen?</v>
      </c>
      <c r="C30" s="197" t="str">
        <f>_xlfn.CONCAT("Nein: ",VLOOKUP($A30,Fragenkatalog!$A$1:$L$53,MATCH(C$13,Fragenkatalog!$1:$1,0),FALSE))</f>
        <v>Nein: Es fehlen wichtige Kompetenzen.</v>
      </c>
      <c r="D30" s="197" t="str">
        <f>VLOOKUP($A30,Fragenkatalog!$A$1:$L$53,MATCH(D$24,Fragenkatalog!$1:$1,0),FALSE)</f>
        <v>Fehlende Kompetenzen können erworben werden.</v>
      </c>
      <c r="E30" s="197" t="str">
        <f>_xlfn.CONCAT("Ja: ",VLOOKUP($A30,Fragenkatalog!$A$1:$L$53,MATCH(E$13,Fragenkatalog!$1:$1,0),FALSE))</f>
        <v>Ja: Alle nötigen Kompetenzen sind vorhanden.</v>
      </c>
      <c r="F30" s="85"/>
      <c r="G30" s="86"/>
      <c r="H30" s="86" t="s">
        <v>197</v>
      </c>
      <c r="I30" s="2">
        <f>IF(F30=LookupTabellen!$A$7,0,IFERROR(VLOOKUP(A30,Fragenkatalog!A:N,13,FALSE),""))</f>
        <v>1</v>
      </c>
      <c r="J30" s="2">
        <f>IF(OR(F30="",AND(G30="",F30&lt;&gt;LookupTabellen!$A$6,F30&lt;&gt;LookupTabellen!$A$7)),0,IFERROR(VLOOKUP(F30,LookupTabellen!$A$3:$B$7,2,FALSE)*VLOOKUP(A30,Fragenkatalog!A:N,13,FALSE),""))</f>
        <v>0</v>
      </c>
      <c r="K30" s="2">
        <f>IF(OR(F30="",AND(G30="",F30&lt;&gt;LookupTabellen!$A$6,F30&lt;&gt;LookupTabellen!$A$7)),0,IFERROR(VLOOKUP(F30,LookupTabellen!$A$3:$C$7,3,FALSE)*VLOOKUP(G30,LookupTabellen!$D$3:$F$5,3,FALSE)*VLOOKUP(A30,Fragenkatalog!A:N,13,FALSE),""))</f>
        <v>0</v>
      </c>
      <c r="L30" s="2">
        <f>IF(F30=LookupTabellen!$A$6,0,IFERROR(ABS(VLOOKUP(A30,Fragenkatalog!A:N,14,FALSE)),""))</f>
        <v>0.85</v>
      </c>
      <c r="M30" s="2" t="str">
        <f>IFERROR((IF(VLOOKUP(A30,Fragenkatalog!A:N,14,FALSE)&lt;0,-4,0)+VLOOKUP(F30,LookupTabellen!$A$3:$B$7,2,FALSE))*VLOOKUP(A30,Fragenkatalog!A:N,14,FALSE),"")</f>
        <v/>
      </c>
      <c r="N30" s="2">
        <f>IFERROR(VLOOKUP(G30,LookupTabellen!$D$3:$E$5,2,FALSE)*AND(H30&lt;&gt;"Antwort auswählen",F30&lt;&gt;LookupTabellen!$A$6,F30&lt;&gt;LookupTabellen!$A$7),0)</f>
        <v>0</v>
      </c>
      <c r="O30" s="1" t="str">
        <f>IF(F30=LookupTabellen!$A$3,IF(VLOOKUP($A30,Fragenkatalog!$A$1:$L$53,MATCH($C$13,Fragenkatalog!$1:$1,0),FALSE)=0,"",CONCATENATE(VLOOKUP(H30,LookupTabellen!$H$2:$I$3,2,FALSE),VLOOKUP($A30,Fragenkatalog!$A$1:$L$53,MATCH($C$13,Fragenkatalog!$1:$1,0),FALSE))),"")</f>
        <v/>
      </c>
      <c r="P30" s="2" t="str">
        <f>IF(O30="",IF(OR(F30=LookupTabellen!$A$6,F30="",G30=LookupTabellen!$D$3),IF(VLOOKUP($A30,Fragenkatalog!$A$1:$L$53,MATCH("Frage",Fragenkatalog!$1:$1,0),FALSE)=0,"",CONCATENATE(VLOOKUP(H30,LookupTabellen!$H$2:$I$3,2,FALSE),VLOOKUP($A30,Fragenkatalog!$A$1:$L$53,MATCH("Frage",Fragenkatalog!$1:$1,0),FALSE))),""),"")</f>
        <v>Verfügt das Entwicklerteam über die notwendigen Kompetenzen?</v>
      </c>
      <c r="Q30" s="197" t="str">
        <f>VLOOKUP($A30,Fragenkatalog!$A$1:$L$53,MATCH(Q$24,Fragenkatalog!$1:$1,0),FALSE)</f>
        <v>Wichtige Kompetenzen könne sich zum einen auf die Entwicklung der Software beziehen (z.B. fehlende Kenntnisse in bestimmten Programmiersprachen oder auf dem zugrundeliegenden wissenschaftlichen Feld), als auch auf die Verwertung (Fehlendes Know-How über Rechte, Markt, etc.)</v>
      </c>
      <c r="U30" s="26"/>
      <c r="V30" s="54"/>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row>
    <row r="31" spans="1:62" ht="49" thickBot="1" x14ac:dyDescent="0.25">
      <c r="A31" s="75" t="s">
        <v>445</v>
      </c>
      <c r="B31" s="76" t="str">
        <f>VLOOKUP($A31,Fragenkatalog!$A$1:$L$53,MATCH(B$24,Fragenkatalog!$1:$1,0),FALSE)</f>
        <v>Ist das Entwicklerteam gut in die Community und Industrie eingebunden?</v>
      </c>
      <c r="C31" s="77" t="str">
        <f>_xlfn.CONCAT("Nein: ",VLOOKUP($A31,Fragenkatalog!$A$1:$L$53,MATCH(C$13,Fragenkatalog!$1:$1,0),FALSE))</f>
        <v>Nein: Es gibt keine Vernetzung.</v>
      </c>
      <c r="D31" s="77" t="str">
        <f>VLOOKUP($A31,Fragenkatalog!$A$1:$L$53,MATCH(D$24,Fragenkatalog!$1:$1,0),FALSE)</f>
        <v>Entwicklerteam ist in der Forschungscommunity oder Industrie gut integriert.</v>
      </c>
      <c r="E31" s="77" t="str">
        <f>_xlfn.CONCAT("Ja: ",VLOOKUP($A31,Fragenkatalog!$A$1:$L$53,MATCH(E$13,Fragenkatalog!$1:$1,0),FALSE))</f>
        <v>Ja: Das Entwicklerteam ist in beiden Bereichen gut integriert.</v>
      </c>
      <c r="F31" s="81"/>
      <c r="G31" s="82"/>
      <c r="H31" s="82" t="s">
        <v>197</v>
      </c>
      <c r="I31" s="2">
        <f>IF(F31=LookupTabellen!$A$7,0,IFERROR(VLOOKUP(A31,Fragenkatalog!A:N,13,FALSE),""))</f>
        <v>1</v>
      </c>
      <c r="J31" s="2">
        <f>IF(OR(F31="",AND(G31="",F31&lt;&gt;LookupTabellen!$A$6,F31&lt;&gt;LookupTabellen!$A$7)),0,IFERROR(VLOOKUP(F31,LookupTabellen!$A$3:$B$7,2,FALSE)*VLOOKUP(A31,Fragenkatalog!A:N,13,FALSE),""))</f>
        <v>0</v>
      </c>
      <c r="K31" s="2">
        <f>IF(OR(F31="",AND(G31="",F31&lt;&gt;LookupTabellen!$A$6,F31&lt;&gt;LookupTabellen!$A$7)),0,IFERROR(VLOOKUP(F31,LookupTabellen!$A$3:$C$7,3,FALSE)*VLOOKUP(G31,LookupTabellen!$D$3:$F$5,3,FALSE)*VLOOKUP(A31,Fragenkatalog!A:N,13,FALSE),""))</f>
        <v>0</v>
      </c>
      <c r="L31" s="2">
        <f>IF(F31=LookupTabellen!$A$6,0,IFERROR(ABS(VLOOKUP(A31,Fragenkatalog!A:N,14,FALSE)),""))</f>
        <v>0.5</v>
      </c>
      <c r="M31" s="2" t="str">
        <f>IFERROR((IF(VLOOKUP(A31,Fragenkatalog!A:N,14,FALSE)&lt;0,-4,0)+VLOOKUP(F31,LookupTabellen!$A$3:$B$7,2,FALSE))*VLOOKUP(A31,Fragenkatalog!A:N,14,FALSE),"")</f>
        <v/>
      </c>
      <c r="N31" s="2">
        <f>IFERROR(VLOOKUP(G31,LookupTabellen!$D$3:$E$5,2,FALSE)*AND(H31&lt;&gt;"Antwort auswählen",F31&lt;&gt;LookupTabellen!$A$6,F31&lt;&gt;LookupTabellen!$A$7),0)</f>
        <v>0</v>
      </c>
      <c r="O31" s="1" t="str">
        <f>IF(F31=LookupTabellen!$A$3,IF(VLOOKUP($A31,Fragenkatalog!$A$1:$L$53,MATCH($C$13,Fragenkatalog!$1:$1,0),FALSE)=0,"",CONCATENATE(VLOOKUP(H31,LookupTabellen!$H$2:$I$3,2,FALSE),VLOOKUP($A31,Fragenkatalog!$A$1:$L$53,MATCH($C$13,Fragenkatalog!$1:$1,0),FALSE))),"")</f>
        <v/>
      </c>
      <c r="P31" s="2" t="str">
        <f>IF(O31="",IF(OR(F31=LookupTabellen!$A$6,F31="",G31=LookupTabellen!$D$3),IF(VLOOKUP($A31,Fragenkatalog!$A$1:$L$53,MATCH("Frage",Fragenkatalog!$1:$1,0),FALSE)=0,"",CONCATENATE(VLOOKUP(H31,LookupTabellen!$H$2:$I$3,2,FALSE),VLOOKUP($A31,Fragenkatalog!$A$1:$L$53,MATCH("Frage",Fragenkatalog!$1:$1,0),FALSE))),""),"")</f>
        <v>Ist das Entwicklerteam gut in die Community und Industrie eingebunden?</v>
      </c>
      <c r="Q31" s="78" t="str">
        <f>VLOOKUP($A31,Fragenkatalog!$A$1:$L$53,MATCH(Q$24,Fragenkatalog!$1:$1,0),FALSE)</f>
        <v xml:space="preserve">Annerkennung/Etablierung im relevanten Gebiet, Unterstützung und Kontakte zu Industrie, ggfs Vertriebsnetze (direkte Kontakte aus dem Bereich der Entwicklerschaft/Lehrstuhlinhaber, etc.) </v>
      </c>
      <c r="U31" s="26"/>
      <c r="V31" s="54"/>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row>
    <row r="32" spans="1:62" ht="25" thickBot="1" x14ac:dyDescent="0.25">
      <c r="A32" s="51"/>
      <c r="B32" s="51"/>
      <c r="C32" s="51"/>
      <c r="D32" s="51"/>
      <c r="E32" s="198">
        <f>IFERROR(SUM(K25:K31)/SUM(I25:I31),0)</f>
        <v>0</v>
      </c>
      <c r="F32" s="199">
        <f>IFERROR(SUM(J25:J31)/SUM(I25:I31),0)</f>
        <v>0</v>
      </c>
      <c r="G32" s="199">
        <f>IFERROR(SUM(N25:N31)/(COUNTIF(F25:F31,"&lt;&gt;nicht relevant")),"Bewertung nicht möglich")</f>
        <v>0</v>
      </c>
      <c r="Q32" s="1"/>
      <c r="U32" s="26"/>
      <c r="V32" s="54"/>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row>
    <row r="33" spans="1:62" ht="17" thickBot="1" x14ac:dyDescent="0.25">
      <c r="A33" s="51"/>
      <c r="B33" s="51"/>
      <c r="C33" s="51"/>
      <c r="D33" s="51"/>
      <c r="E33" s="79" t="s">
        <v>465</v>
      </c>
      <c r="F33" s="79" t="s">
        <v>466</v>
      </c>
      <c r="G33" s="79" t="s">
        <v>192</v>
      </c>
      <c r="H33" s="51"/>
      <c r="I33" s="51"/>
      <c r="J33" s="51"/>
      <c r="K33" s="51"/>
      <c r="L33" s="51"/>
      <c r="M33" s="51"/>
      <c r="N33" s="51"/>
      <c r="O33" s="51"/>
      <c r="P33" s="51"/>
      <c r="Q33" s="51"/>
      <c r="U33" s="26"/>
      <c r="V33" s="54"/>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row>
    <row r="34" spans="1:62" ht="27" thickBot="1" x14ac:dyDescent="0.25">
      <c r="A34" s="213" t="s">
        <v>120</v>
      </c>
      <c r="B34" s="214"/>
      <c r="C34" s="214"/>
      <c r="D34" s="214"/>
      <c r="E34" s="214"/>
      <c r="F34" s="214"/>
      <c r="G34" s="214"/>
      <c r="H34" s="214"/>
      <c r="I34" s="214"/>
      <c r="J34" s="214"/>
      <c r="K34" s="214"/>
      <c r="L34" s="214"/>
      <c r="M34" s="214"/>
      <c r="N34" s="214"/>
      <c r="O34" s="214"/>
      <c r="P34" s="214"/>
      <c r="Q34" s="214"/>
      <c r="R34" s="54"/>
      <c r="S34" s="54"/>
      <c r="T34" s="54"/>
      <c r="U34" s="54" t="str">
        <f>IF(G34=LookupTabellen!$D$3,IF(VLOOKUP($A34,Fragenkatalog!$A$1:$L$53,MATCH("Frage",Fragenkatalog!$1:$1,0),FALSE)=0,"",VLOOKUP($A34,Fragenkatalog!$A$1:$L$53,MATCH("Frage",Fragenkatalog!$1:$1,0),FALSE)),"")</f>
        <v/>
      </c>
      <c r="V34" s="54"/>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row>
    <row r="35" spans="1:62" ht="49" thickBot="1" x14ac:dyDescent="0.25">
      <c r="A35" s="215" t="s">
        <v>112</v>
      </c>
      <c r="B35" s="216" t="s">
        <v>113</v>
      </c>
      <c r="C35" s="216" t="s">
        <v>463</v>
      </c>
      <c r="D35" s="216" t="s">
        <v>325</v>
      </c>
      <c r="E35" s="216" t="s">
        <v>458</v>
      </c>
      <c r="F35" s="217" t="s">
        <v>196</v>
      </c>
      <c r="G35" s="217" t="s">
        <v>190</v>
      </c>
      <c r="H35" s="217" t="s">
        <v>122</v>
      </c>
      <c r="I35" s="218" t="s">
        <v>267</v>
      </c>
      <c r="J35" s="218" t="s">
        <v>459</v>
      </c>
      <c r="K35" s="218" t="s">
        <v>460</v>
      </c>
      <c r="L35" s="218" t="s">
        <v>266</v>
      </c>
      <c r="M35" s="218" t="s">
        <v>462</v>
      </c>
      <c r="N35" s="218" t="s">
        <v>464</v>
      </c>
      <c r="O35" s="218" t="s">
        <v>307</v>
      </c>
      <c r="P35" s="218" t="s">
        <v>265</v>
      </c>
      <c r="Q35" s="216" t="s">
        <v>115</v>
      </c>
      <c r="U35" s="26"/>
      <c r="V35" s="54"/>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row>
    <row r="36" spans="1:62" ht="65" thickBot="1" x14ac:dyDescent="0.25">
      <c r="A36" s="75" t="s">
        <v>446</v>
      </c>
      <c r="B36" s="76" t="str">
        <f>VLOOKUP($A36,Fragenkatalog!$A$1:$L$53,MATCH(B$35,Fragenkatalog!$1:$1,0),FALSE)</f>
        <v>Passt eine Verwertung der Software zu der strategischen Ausrichtung und den Zielen der Einrichtung.</v>
      </c>
      <c r="C36" s="77" t="str">
        <f>_xlfn.CONCAT("Nein: ",VLOOKUP($A36,Fragenkatalog!$A$1:$L$53,MATCH(C$13,Fragenkatalog!$1:$1,0),FALSE))</f>
        <v>Nein: Die Verwertung passt nicht zu der Zielen und strategischen Ausrichtung der Einrichtung.</v>
      </c>
      <c r="D36" s="77" t="str">
        <f>VLOOKUP($A36,Fragenkatalog!$A$1:$L$53,MATCH(D$13,Fragenkatalog!$1:$1,0),FALSE)</f>
        <v>Die Software passt nur bedingt zur Einrichtung und/oder es besteht ein Interesse an der Verwertung</v>
      </c>
      <c r="E36" s="77" t="str">
        <f>_xlfn.CONCAT("Ja: ",VLOOKUP($A36,Fragenkatalog!$A$1:$L$53,MATCH(E$13,Fragenkatalog!$1:$1,0),FALSE))</f>
        <v>Ja: Die Software passt in das Kerngebiet der Einrichtung und diese will eine Verwertung durchführen.</v>
      </c>
      <c r="F36" s="81"/>
      <c r="G36" s="82"/>
      <c r="H36" s="82" t="s">
        <v>197</v>
      </c>
      <c r="I36" s="2">
        <f>IF(F36=LookupTabellen!$A$7,0,IFERROR(VLOOKUP(A36,Fragenkatalog!A:N,13,FALSE),""))</f>
        <v>1</v>
      </c>
      <c r="J36" s="2">
        <f>IF(OR(F36="",AND(G36="",F36&lt;&gt;LookupTabellen!$A$6,F36&lt;&gt;LookupTabellen!$A$7)),0,IFERROR(VLOOKUP(F36,LookupTabellen!$A$3:$B$7,2,FALSE)*VLOOKUP(A36,Fragenkatalog!A:N,13,FALSE),""))</f>
        <v>0</v>
      </c>
      <c r="K36" s="2">
        <f>IF(OR(F36="",AND(G36="",F36&lt;&gt;LookupTabellen!$A$6,F36&lt;&gt;LookupTabellen!$A$7)),0,IFERROR(VLOOKUP(F36,LookupTabellen!$A$3:$C$7,3,FALSE)*VLOOKUP(G36,LookupTabellen!$D$3:$F$5,3,FALSE)*VLOOKUP(A36,Fragenkatalog!A:N,13,FALSE),""))</f>
        <v>0</v>
      </c>
      <c r="L36" s="2">
        <f>IF(F36=LookupTabellen!$A$6,0,IFERROR(ABS(VLOOKUP(A36,Fragenkatalog!A:N,14,FALSE)),""))</f>
        <v>0.1</v>
      </c>
      <c r="M36" s="2" t="str">
        <f>IFERROR((IF(VLOOKUP(A36,Fragenkatalog!A:N,14,FALSE)&lt;0,-4,0)+VLOOKUP(F36,LookupTabellen!$A$3:$B$7,2,FALSE))*VLOOKUP(A36,Fragenkatalog!A:N,14,FALSE),"")</f>
        <v/>
      </c>
      <c r="N36" s="2">
        <f>IFERROR(VLOOKUP(G36,LookupTabellen!$D$3:$E$5,2,FALSE)*AND(H36&lt;&gt;"Antwort auswählen",F36&lt;&gt;LookupTabellen!$A$6,F36&lt;&gt;LookupTabellen!$A$7),0)</f>
        <v>0</v>
      </c>
      <c r="O36" s="1" t="str">
        <f>IF(F36=LookupTabellen!$A$3,IF(VLOOKUP($A36,Fragenkatalog!$A$1:$L$53,MATCH($C$13,Fragenkatalog!$1:$1,0),FALSE)=0,"",CONCATENATE(VLOOKUP(H36,LookupTabellen!$H$2:$I$3,2,FALSE),VLOOKUP($A36,Fragenkatalog!$A$1:$L$53,MATCH($C$13,Fragenkatalog!$1:$1,0),FALSE))),"")</f>
        <v/>
      </c>
      <c r="P36" s="2" t="str">
        <f>IF(O36="",IF(OR(F36=LookupTabellen!$A$6,F36="",G36=LookupTabellen!$D$3),IF(VLOOKUP($A36,Fragenkatalog!$A$1:$L$53,MATCH("Frage",Fragenkatalog!$1:$1,0),FALSE)=0,"",CONCATENATE(VLOOKUP(H36,LookupTabellen!$H$2:$I$3,2,FALSE),VLOOKUP($A36,Fragenkatalog!$A$1:$L$53,MATCH("Frage",Fragenkatalog!$1:$1,0),FALSE))),""),"")</f>
        <v>Passt eine Verwertung der Software zu der strategischen Ausrichtung und den Zielen der Einrichtung.</v>
      </c>
      <c r="Q36" s="78" t="str">
        <f>VLOOKUP($A36,Fragenkatalog!$A$1:$L$53,MATCH(Q$13,Fragenkatalog!$1:$1,0),FALSE)</f>
        <v xml:space="preserve">Aus verschiedenen Gründen kann die Verwertung einer Software nicht zu einer Einrichtung passen oder diese kein Interesse an der Verwertung haben. Sie passt nicht ins bestehende Portfolio, schränkt zukünftige Forschungsaktivitäten ein (z.B. durch den Wegfall von Know-How), bedient einen Markt der nicht von der Einrichtung gewünscht ist (z.B. Militärsoftware) oder hat nichts mit der Ausrichtung der Einrichtung zu tun. </v>
      </c>
      <c r="U36" s="26"/>
      <c r="V36" s="54"/>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row>
    <row r="37" spans="1:62" ht="65" thickBot="1" x14ac:dyDescent="0.25">
      <c r="A37" s="221" t="s">
        <v>447</v>
      </c>
      <c r="B37" s="222" t="str">
        <f>VLOOKUP($A37,Fragenkatalog!$A$1:$L$53,MATCH(B$35,Fragenkatalog!$1:$1,0),FALSE)</f>
        <v>Passen die Vorstellung von der Einrichtung, was die Verwertung angeht, zu denen des Teams?</v>
      </c>
      <c r="C37" s="223" t="str">
        <f>_xlfn.CONCAT("Nein: ",VLOOKUP($A37,Fragenkatalog!$A$1:$L$53,MATCH(C$13,Fragenkatalog!$1:$1,0),FALSE))</f>
        <v>Nein: Die  Vorstellungen passen nicht zueinander und keiner zeigt Kompromissbereitschaft.</v>
      </c>
      <c r="D37" s="223" t="str">
        <f>VLOOKUP($A37,Fragenkatalog!$A$1:$L$53,MATCH(D$35,Fragenkatalog!$1:$1,0),FALSE)</f>
        <v>Die Vorstellungen passen nicht zusammen, die Einrichtung ist aber kompromissbereit.</v>
      </c>
      <c r="E37" s="223" t="str">
        <f>_xlfn.CONCAT("Ja: ",VLOOKUP($A37,Fragenkatalog!$A$1:$L$53,MATCH(E$13,Fragenkatalog!$1:$1,0),FALSE))</f>
        <v>Ja: Die Vorstellungen passen zueinander.</v>
      </c>
      <c r="F37" s="87"/>
      <c r="G37" s="88"/>
      <c r="H37" s="88" t="s">
        <v>197</v>
      </c>
      <c r="I37" s="2">
        <f>IF(F37=LookupTabellen!$A$7,0,IFERROR(VLOOKUP(A37,Fragenkatalog!A:N,13,FALSE),""))</f>
        <v>1</v>
      </c>
      <c r="J37" s="2">
        <f>IF(OR(F37="",AND(G37="",F37&lt;&gt;LookupTabellen!$A$6,F37&lt;&gt;LookupTabellen!$A$7)),0,IFERROR(VLOOKUP(F37,LookupTabellen!$A$3:$B$7,2,FALSE)*VLOOKUP(A37,Fragenkatalog!A:N,13,FALSE),""))</f>
        <v>0</v>
      </c>
      <c r="K37" s="2">
        <f>IF(OR(F37="",AND(G37="",F37&lt;&gt;LookupTabellen!$A$6,F37&lt;&gt;LookupTabellen!$A$7)),0,IFERROR(VLOOKUP(F37,LookupTabellen!$A$3:$C$7,3,FALSE)*VLOOKUP(G37,LookupTabellen!$D$3:$F$5,3,FALSE)*VLOOKUP(A37,Fragenkatalog!A:N,13,FALSE),""))</f>
        <v>0</v>
      </c>
      <c r="L37" s="2">
        <f>IF(F37=LookupTabellen!$A$6,0,IFERROR(ABS(VLOOKUP(A37,Fragenkatalog!A:N,14,FALSE)),""))</f>
        <v>0.8</v>
      </c>
      <c r="M37" s="2" t="str">
        <f>IFERROR((IF(VLOOKUP(A37,Fragenkatalog!A:N,14,FALSE)&lt;0,-4,0)+VLOOKUP(F37,LookupTabellen!$A$3:$B$7,2,FALSE))*VLOOKUP(A37,Fragenkatalog!A:N,14,FALSE),"")</f>
        <v/>
      </c>
      <c r="N37" s="2">
        <f>IFERROR(VLOOKUP(G37,LookupTabellen!$D$3:$E$5,2,FALSE)*AND(H37&lt;&gt;"Antwort auswählen",F37&lt;&gt;LookupTabellen!$A$6,F37&lt;&gt;LookupTabellen!$A$7),0)</f>
        <v>0</v>
      </c>
      <c r="O37" s="1" t="str">
        <f>IF(F37=LookupTabellen!$A$3,IF(VLOOKUP($A37,Fragenkatalog!$A$1:$L$53,MATCH($C$13,Fragenkatalog!$1:$1,0),FALSE)=0,"",CONCATENATE(VLOOKUP(H37,LookupTabellen!$H$2:$I$3,2,FALSE),VLOOKUP($A37,Fragenkatalog!$A$1:$L$53,MATCH($C$13,Fragenkatalog!$1:$1,0),FALSE))),"")</f>
        <v/>
      </c>
      <c r="P37" s="2" t="str">
        <f>IF(O37="",IF(OR(F37=LookupTabellen!$A$6,F37="",G37=LookupTabellen!$D$3),IF(VLOOKUP($A37,Fragenkatalog!$A$1:$L$53,MATCH("Frage",Fragenkatalog!$1:$1,0),FALSE)=0,"",CONCATENATE(VLOOKUP(H37,LookupTabellen!$H$2:$I$3,2,FALSE),VLOOKUP($A37,Fragenkatalog!$A$1:$L$53,MATCH("Frage",Fragenkatalog!$1:$1,0),FALSE))),""),"")</f>
        <v>Passen die Vorstellung von der Einrichtung, was die Verwertung angeht, zu denen des Teams?</v>
      </c>
      <c r="Q37" s="224" t="str">
        <f>VLOOKUP($A37,Fragenkatalog!$A$1:$L$53,MATCH(Q$35,Fragenkatalog!$1:$1,0),FALSE)</f>
        <v>Diese Frage zielt darauf ab, ob die Einrichtung die gleichen Erwartungen von der Verwertung hat wie das Projektteam. Will die Einrichtung zum Beispiel eine Software kommerziell verwerten, das Team diese aber lieber als Open Scource verwerten, entsteht dadurch ein Mehraufwand für die Vermittlung beider Seiten. Ausschlaggebend ist außerdem wie aufgeschlossen die Einrichtung/Lehrstuhl für Kompromisse ist.</v>
      </c>
      <c r="U37" s="26"/>
      <c r="V37" s="54"/>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row>
    <row r="38" spans="1:62" ht="49" thickBot="1" x14ac:dyDescent="0.25">
      <c r="A38" s="75" t="s">
        <v>448</v>
      </c>
      <c r="B38" s="76" t="str">
        <f>VLOOKUP($A38,Fragenkatalog!$A$1:$L$53,MATCH(B$35,Fragenkatalog!$1:$1,0),FALSE)</f>
        <v>Liegen alle Nutzungs- und Verwertungsrechte bei der Einrichtung?</v>
      </c>
      <c r="C38" s="77" t="str">
        <f>_xlfn.CONCAT("Nein: ",VLOOKUP($A38,Fragenkatalog!$A$1:$L$53,MATCH(C$13,Fragenkatalog!$1:$1,0),FALSE))</f>
        <v>Nein: Es ist nicht möglich alle Rechte in der Einrichtung zu vereinigen.</v>
      </c>
      <c r="D38" s="77" t="str">
        <f>VLOOKUP($A38,Fragenkatalog!$A$1:$L$53,MATCH(D$35,Fragenkatalog!$1:$1,0),FALSE)</f>
        <v>Rechte können noch erworben werden, oder müssen noch geklärt werden.</v>
      </c>
      <c r="E38" s="77" t="str">
        <f>_xlfn.CONCAT("Ja: ",VLOOKUP($A38,Fragenkatalog!$A$1:$L$53,MATCH(E$13,Fragenkatalog!$1:$1,0),FALSE))</f>
        <v>Ja: Die Einrichtung hat alle nötigen Rechte.</v>
      </c>
      <c r="F38" s="81"/>
      <c r="G38" s="82"/>
      <c r="H38" s="82" t="s">
        <v>197</v>
      </c>
      <c r="I38" s="2">
        <f>IF(F38=LookupTabellen!$A$7,0,IFERROR(VLOOKUP(A38,Fragenkatalog!A:N,13,FALSE),""))</f>
        <v>1</v>
      </c>
      <c r="J38" s="2">
        <f>IF(OR(F38="",AND(G38="",F38&lt;&gt;LookupTabellen!$A$6,F38&lt;&gt;LookupTabellen!$A$7)),0,IFERROR(VLOOKUP(F38,LookupTabellen!$A$3:$B$7,2,FALSE)*VLOOKUP(A38,Fragenkatalog!A:N,13,FALSE),""))</f>
        <v>0</v>
      </c>
      <c r="K38" s="2">
        <f>IF(OR(F38="",AND(G38="",F38&lt;&gt;LookupTabellen!$A$6,F38&lt;&gt;LookupTabellen!$A$7)),0,IFERROR(VLOOKUP(F38,LookupTabellen!$A$3:$C$7,3,FALSE)*VLOOKUP(G38,LookupTabellen!$D$3:$F$5,3,FALSE)*VLOOKUP(A38,Fragenkatalog!A:N,13,FALSE),""))</f>
        <v>0</v>
      </c>
      <c r="L38" s="2">
        <f>IF(F38=LookupTabellen!$A$6,0,IFERROR(ABS(VLOOKUP(A38,Fragenkatalog!A:N,14,FALSE)),""))</f>
        <v>0.5</v>
      </c>
      <c r="M38" s="2" t="str">
        <f>IFERROR((IF(VLOOKUP(A38,Fragenkatalog!A:N,14,FALSE)&lt;0,-4,0)+VLOOKUP(F38,LookupTabellen!$A$3:$B$7,2,FALSE))*VLOOKUP(A38,Fragenkatalog!A:N,14,FALSE),"")</f>
        <v/>
      </c>
      <c r="N38" s="2">
        <f>IFERROR(VLOOKUP(G38,LookupTabellen!$D$3:$E$5,2,FALSE)*AND(H38&lt;&gt;"Antwort auswählen",F38&lt;&gt;LookupTabellen!$A$6,F38&lt;&gt;LookupTabellen!$A$7),0)</f>
        <v>0</v>
      </c>
      <c r="O38" s="1" t="str">
        <f>IF(F38=LookupTabellen!$A$3,IF(VLOOKUP($A38,Fragenkatalog!$A$1:$L$53,MATCH($C$13,Fragenkatalog!$1:$1,0),FALSE)=0,"",CONCATENATE(VLOOKUP(H38,LookupTabellen!$H$2:$I$3,2,FALSE),VLOOKUP($A38,Fragenkatalog!$A$1:$L$53,MATCH($C$13,Fragenkatalog!$1:$1,0),FALSE))),"")</f>
        <v/>
      </c>
      <c r="P38" s="2" t="str">
        <f>IF(O38="",IF(OR(F38=LookupTabellen!$A$6,F38="",G38=LookupTabellen!$D$3),IF(VLOOKUP($A38,Fragenkatalog!$A$1:$L$53,MATCH("Frage",Fragenkatalog!$1:$1,0),FALSE)=0,"",CONCATENATE(VLOOKUP(H38,LookupTabellen!$H$2:$I$3,2,FALSE),VLOOKUP($A38,Fragenkatalog!$A$1:$L$53,MATCH("Frage",Fragenkatalog!$1:$1,0),FALSE))),""),"")</f>
        <v>Liegen alle Nutzungs- und Verwertungsrechte bei der Einrichtung?</v>
      </c>
      <c r="Q38" s="78" t="str">
        <f>VLOOKUP($A38,Fragenkatalog!$A$1:$L$53,MATCH(Q$35,Fragenkatalog!$1:$1,0),FALSE)</f>
        <v xml:space="preserve">Für eine Verwertung durch die Einrichtung ist es notwendig, dass alle Rechte bei der Einrichtung liegen. Ist dies nicht der Fall, oder noch unklar, so müssen diese wenn möglich erworben werden. </v>
      </c>
      <c r="U38" s="26"/>
      <c r="V38" s="54"/>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row>
    <row r="39" spans="1:62" ht="65" thickBot="1" x14ac:dyDescent="0.25">
      <c r="A39" s="221" t="s">
        <v>449</v>
      </c>
      <c r="B39" s="222" t="str">
        <f>VLOOKUP($A39,Fragenkatalog!$A$1:$L$53,MATCH(B$35,Fragenkatalog!$1:$1,0),FALSE)</f>
        <v>Ist eine Verwertung trotz bestehender Rahmenverträge (Auftragsforschung, FuE Projekt, Kooperationsverträgen) möglich?</v>
      </c>
      <c r="C39" s="223" t="str">
        <f>_xlfn.CONCAT("Nein: ",VLOOKUP($A39,Fragenkatalog!$A$1:$L$53,MATCH(C$13,Fragenkatalog!$1:$1,0),FALSE))</f>
        <v>Nein: Verwertung wird durch bestehende Verträge explizit ausgeschlossen.</v>
      </c>
      <c r="D39" s="223" t="str">
        <f>VLOOKUP($A39,Fragenkatalog!$A$1:$L$53,MATCH(D$35,Fragenkatalog!$1:$1,0),FALSE)</f>
        <v>Verwertungmodalitäten sind noch nicht mit Kooperationspartnern, Geldgebern, o.Ä geklärt.</v>
      </c>
      <c r="E39" s="223" t="str">
        <f>_xlfn.CONCAT("Ja: ",VLOOKUP($A39,Fragenkatalog!$A$1:$L$53,MATCH(E$13,Fragenkatalog!$1:$1,0),FALSE))</f>
        <v>Ja: Verwertung ist explizit erlaubt.</v>
      </c>
      <c r="F39" s="87"/>
      <c r="G39" s="88"/>
      <c r="H39" s="88" t="s">
        <v>197</v>
      </c>
      <c r="I39" s="2">
        <f>IF(F39=LookupTabellen!$A$7,0,IFERROR(VLOOKUP(A39,Fragenkatalog!A:N,13,FALSE),""))</f>
        <v>1</v>
      </c>
      <c r="J39" s="2">
        <f>IF(OR(F39="",AND(G39="",F39&lt;&gt;LookupTabellen!$A$6,F39&lt;&gt;LookupTabellen!$A$7)),0,IFERROR(VLOOKUP(F39,LookupTabellen!$A$3:$B$7,2,FALSE)*VLOOKUP(A39,Fragenkatalog!A:N,13,FALSE),""))</f>
        <v>0</v>
      </c>
      <c r="K39" s="2">
        <f>IF(OR(F39="",AND(G39="",F39&lt;&gt;LookupTabellen!$A$6,F39&lt;&gt;LookupTabellen!$A$7)),0,IFERROR(VLOOKUP(F39,LookupTabellen!$A$3:$C$7,3,FALSE)*VLOOKUP(G39,LookupTabellen!$D$3:$F$5,3,FALSE)*VLOOKUP(A39,Fragenkatalog!A:N,13,FALSE),""))</f>
        <v>0</v>
      </c>
      <c r="L39" s="2">
        <f>IF(F39=LookupTabellen!$A$6,0,IFERROR(ABS(VLOOKUP(A39,Fragenkatalog!A:N,14,FALSE)),""))</f>
        <v>1</v>
      </c>
      <c r="M39" s="2" t="str">
        <f>IFERROR((IF(VLOOKUP(A39,Fragenkatalog!A:N,14,FALSE)&lt;0,-4,0)+VLOOKUP(F39,LookupTabellen!$A$3:$B$7,2,FALSE))*VLOOKUP(A39,Fragenkatalog!A:N,14,FALSE),"")</f>
        <v/>
      </c>
      <c r="N39" s="2">
        <f>IFERROR(VLOOKUP(G39,LookupTabellen!$D$3:$E$5,2,FALSE)*AND(H39&lt;&gt;"Antwort auswählen",F39&lt;&gt;LookupTabellen!$A$6,F39&lt;&gt;LookupTabellen!$A$7),0)</f>
        <v>0</v>
      </c>
      <c r="O39" s="1" t="str">
        <f>IF(F39=LookupTabellen!$A$3,IF(VLOOKUP($A39,Fragenkatalog!$A$1:$L$53,MATCH($C$13,Fragenkatalog!$1:$1,0),FALSE)=0,"",CONCATENATE(VLOOKUP(H39,LookupTabellen!$H$2:$I$3,2,FALSE),VLOOKUP($A39,Fragenkatalog!$A$1:$L$53,MATCH($C$13,Fragenkatalog!$1:$1,0),FALSE))),"")</f>
        <v/>
      </c>
      <c r="P39" s="2" t="str">
        <f>IF(O39="",IF(OR(F39=LookupTabellen!$A$6,F39="",G39=LookupTabellen!$D$3),IF(VLOOKUP($A39,Fragenkatalog!$A$1:$L$53,MATCH("Frage",Fragenkatalog!$1:$1,0),FALSE)=0,"",CONCATENATE(VLOOKUP(H39,LookupTabellen!$H$2:$I$3,2,FALSE),VLOOKUP($A39,Fragenkatalog!$A$1:$L$53,MATCH("Frage",Fragenkatalog!$1:$1,0),FALSE))),""),"")</f>
        <v>Ist eine Verwertung trotz bestehender Rahmenverträge (Auftragsforschung, FuE Projekt, Kooperationsverträgen) möglich?</v>
      </c>
      <c r="Q39" s="224" t="str">
        <f>VLOOKUP($A39,Fragenkatalog!$A$1:$L$53,MATCH(Q$35,Fragenkatalog!$1:$1,0),FALSE)</f>
        <v>Eine Entwicklung von Software kann durch bestehende Verträge oder Kooperationen geregelt sein. Diese können eine Verwertung erlauben oder ausschließen. Wenn solche Verträge existieren, können diese eine Verwerung erlauben oder ausschließen. In zweiterem Fall ist muss im Anschluss geprüft werden, was an Verwertung möglich ist.</v>
      </c>
      <c r="U39" s="26"/>
      <c r="V39" s="54"/>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row>
    <row r="40" spans="1:62" ht="81" thickBot="1" x14ac:dyDescent="0.25">
      <c r="A40" s="75" t="s">
        <v>450</v>
      </c>
      <c r="B40" s="76" t="str">
        <f>VLOOKUP($A40,Fragenkatalog!$A$1:$L$53,MATCH(B$35,Fragenkatalog!$1:$1,0),FALSE)</f>
        <v>Kann die Einrichtung für Verwertung und ggfs. Betrieb/Wartung/Support der Software weitere Ressourcen zur Verfügung stellen?</v>
      </c>
      <c r="C40" s="77" t="str">
        <f>_xlfn.CONCAT("Nein: ",VLOOKUP($A40,Fragenkatalog!$A$1:$L$53,MATCH(C$13,Fragenkatalog!$1:$1,0),FALSE))</f>
        <v>Nein: Die Einrichtung kann/will keine Ressourcen bereitstellen.</v>
      </c>
      <c r="D40" s="77" t="str">
        <f>VLOOKUP($A40,Fragenkatalog!$A$1:$L$53,MATCH(D$35,Fragenkatalog!$1:$1,0),FALSE)</f>
        <v>Die Einrichtung kann/will nur einen Teil der notwendigen Ressourcen bereitstellen.</v>
      </c>
      <c r="E40" s="77" t="str">
        <f>_xlfn.CONCAT("Ja: ",VLOOKUP($A40,Fragenkatalog!$A$1:$L$53,MATCH(E$13,Fragenkatalog!$1:$1,0),FALSE))</f>
        <v>Ja: Die Einrichtung kann/will entsprechende Ressourcen bereitstellen.</v>
      </c>
      <c r="F40" s="81"/>
      <c r="G40" s="82"/>
      <c r="H40" s="82" t="s">
        <v>197</v>
      </c>
      <c r="I40" s="2">
        <f>IF(F40=LookupTabellen!$A$7,0,IFERROR(VLOOKUP(A40,Fragenkatalog!A:N,13,FALSE),""))</f>
        <v>1</v>
      </c>
      <c r="J40" s="2">
        <f>IF(OR(F40="",AND(G40="",F40&lt;&gt;LookupTabellen!$A$6,F40&lt;&gt;LookupTabellen!$A$7)),0,IFERROR(VLOOKUP(F40,LookupTabellen!$A$3:$B$7,2,FALSE)*VLOOKUP(A40,Fragenkatalog!A:N,13,FALSE),""))</f>
        <v>0</v>
      </c>
      <c r="K40" s="2">
        <f>IF(OR(F40="",AND(G40="",F40&lt;&gt;LookupTabellen!$A$6,F40&lt;&gt;LookupTabellen!$A$7)),0,IFERROR(VLOOKUP(F40,LookupTabellen!$A$3:$C$7,3,FALSE)*VLOOKUP(G40,LookupTabellen!$D$3:$F$5,3,FALSE)*VLOOKUP(A40,Fragenkatalog!A:N,13,FALSE),""))</f>
        <v>0</v>
      </c>
      <c r="L40" s="2">
        <f>IF(F40=LookupTabellen!$A$6,0,IFERROR(ABS(VLOOKUP(A40,Fragenkatalog!A:N,14,FALSE)),""))</f>
        <v>0.75</v>
      </c>
      <c r="M40" s="2" t="str">
        <f>IFERROR((IF(VLOOKUP(A40,Fragenkatalog!A:N,14,FALSE)&lt;0,-4,0)+VLOOKUP(F40,LookupTabellen!$A$3:$B$7,2,FALSE))*VLOOKUP(A40,Fragenkatalog!A:N,14,FALSE),"")</f>
        <v/>
      </c>
      <c r="N40" s="2">
        <f>IFERROR(VLOOKUP(G40,LookupTabellen!$D$3:$E$5,2,FALSE)*AND(H40&lt;&gt;"Antwort auswählen",F40&lt;&gt;LookupTabellen!$A$6,F40&lt;&gt;LookupTabellen!$A$7),0)</f>
        <v>0</v>
      </c>
      <c r="O40" s="1" t="str">
        <f>IF(F40=LookupTabellen!$A$3,IF(VLOOKUP($A40,Fragenkatalog!$A$1:$L$53,MATCH($C$13,Fragenkatalog!$1:$1,0),FALSE)=0,"",CONCATENATE(VLOOKUP(H40,LookupTabellen!$H$2:$I$3,2,FALSE),VLOOKUP($A40,Fragenkatalog!$A$1:$L$53,MATCH($C$13,Fragenkatalog!$1:$1,0),FALSE))),"")</f>
        <v/>
      </c>
      <c r="P40" s="2" t="str">
        <f>IF(O40="",IF(OR(F40=LookupTabellen!$A$6,F40="",G40=LookupTabellen!$D$3),IF(VLOOKUP($A40,Fragenkatalog!$A$1:$L$53,MATCH("Frage",Fragenkatalog!$1:$1,0),FALSE)=0,"",CONCATENATE(VLOOKUP(H40,LookupTabellen!$H$2:$I$3,2,FALSE),VLOOKUP($A40,Fragenkatalog!$A$1:$L$53,MATCH("Frage",Fragenkatalog!$1:$1,0),FALSE))),""),"")</f>
        <v>Kann die Einrichtung für Verwertung und ggfs. Betrieb/Wartung/Support der Software weitere Ressourcen zur Verfügung stellen?</v>
      </c>
      <c r="Q40" s="78" t="str">
        <f>VLOOKUP($A40,Fragenkatalog!$A$1:$L$53,MATCH(Q$35,Fragenkatalog!$1:$1,0),FALSE)</f>
        <v>Will die Einrichtung, zusätzlich zu den bereits bereitgestellten Ressourcen für das Team, weitere Ressourcen für eine Verwertung der Software freigeben? Das können sowohl finanzielle, materielle oder personelle Ressourcen sein sowie Unterstützung durch andere Abteilungen (z.B. Communication) bei der Verwertung. Je nach Art der Verwertung (z.B. SaaS) kann es auch notwendig sein, für den Betrieb der Software Ressourcen bereitstellen zu müssen.</v>
      </c>
      <c r="U40" s="26"/>
      <c r="V40" s="54"/>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row>
    <row r="41" spans="1:62" ht="49" thickBot="1" x14ac:dyDescent="0.25">
      <c r="A41" s="221" t="s">
        <v>451</v>
      </c>
      <c r="B41" s="222" t="str">
        <f>VLOOKUP($A41,Fragenkatalog!$A$1:$L$53,MATCH(B$35,Fragenkatalog!$1:$1,0),FALSE)</f>
        <v>Wäre ein Abbruch der Entwicklung und Verwertung für die Einrichtung  tragbar?</v>
      </c>
      <c r="C41" s="223" t="str">
        <f>_xlfn.CONCAT("Nein: ",VLOOKUP($A41,Fragenkatalog!$A$1:$L$53,MATCH(C$13,Fragenkatalog!$1:$1,0),FALSE))</f>
        <v>Nein: Ein Abbruch wäre für die Einrichtung nicht tragbar.</v>
      </c>
      <c r="D41" s="223" t="str">
        <f>VLOOKUP($A41,Fragenkatalog!$A$1:$L$53,MATCH(D$35,Fragenkatalog!$1:$1,0),FALSE)</f>
        <v>Abbruch könnte kompensiert werden.</v>
      </c>
      <c r="E41" s="223" t="str">
        <f>_xlfn.CONCAT("Ja: ",VLOOKUP($A41,Fragenkatalog!$A$1:$L$53,MATCH(E$13,Fragenkatalog!$1:$1,0),FALSE))</f>
        <v>Ja: Ein Abbruch wäre verkraftbar.</v>
      </c>
      <c r="F41" s="87"/>
      <c r="G41" s="88"/>
      <c r="H41" s="88" t="s">
        <v>197</v>
      </c>
      <c r="I41" s="2">
        <f>IF(F41=LookupTabellen!$A$7,0,IFERROR(VLOOKUP(A41,Fragenkatalog!A:N,13,FALSE),""))</f>
        <v>1</v>
      </c>
      <c r="J41" s="2">
        <f>IF(OR(F41="",AND(G41="",F41&lt;&gt;LookupTabellen!$A$6,F41&lt;&gt;LookupTabellen!$A$7)),0,IFERROR(VLOOKUP(F41,LookupTabellen!$A$3:$B$7,2,FALSE)*VLOOKUP(A41,Fragenkatalog!A:N,13,FALSE),""))</f>
        <v>0</v>
      </c>
      <c r="K41" s="2">
        <f>IF(OR(F41="",AND(G41="",F41&lt;&gt;LookupTabellen!$A$6,F41&lt;&gt;LookupTabellen!$A$7)),0,IFERROR(VLOOKUP(F41,LookupTabellen!$A$3:$C$7,3,FALSE)*VLOOKUP(G41,LookupTabellen!$D$3:$F$5,3,FALSE)*VLOOKUP(A41,Fragenkatalog!A:N,13,FALSE),""))</f>
        <v>0</v>
      </c>
      <c r="L41" s="2">
        <f>IF(F41=LookupTabellen!$A$6,0,IFERROR(ABS(VLOOKUP(A41,Fragenkatalog!A:N,14,FALSE)),""))</f>
        <v>0.2</v>
      </c>
      <c r="M41" s="2" t="str">
        <f>IFERROR((IF(VLOOKUP(A41,Fragenkatalog!A:N,14,FALSE)&lt;0,-4,0)+VLOOKUP(F41,LookupTabellen!$A$3:$B$7,2,FALSE))*VLOOKUP(A41,Fragenkatalog!A:N,14,FALSE),"")</f>
        <v/>
      </c>
      <c r="N41" s="2">
        <f>IFERROR(VLOOKUP(G41,LookupTabellen!$D$3:$E$5,2,FALSE)*AND(H41&lt;&gt;"Antwort auswählen",F41&lt;&gt;LookupTabellen!$A$6,F41&lt;&gt;LookupTabellen!$A$7),0)</f>
        <v>0</v>
      </c>
      <c r="O41" s="1" t="str">
        <f>IF(F41=LookupTabellen!$A$3,IF(VLOOKUP($A41,Fragenkatalog!$A$1:$L$53,MATCH($C$13,Fragenkatalog!$1:$1,0),FALSE)=0,"",CONCATENATE(VLOOKUP(H41,LookupTabellen!$H$2:$I$3,2,FALSE),VLOOKUP($A41,Fragenkatalog!$A$1:$L$53,MATCH($C$13,Fragenkatalog!$1:$1,0),FALSE))),"")</f>
        <v/>
      </c>
      <c r="P41" s="2" t="str">
        <f>IF(O41="",IF(OR(F41=LookupTabellen!$A$6,F41="",G41=LookupTabellen!$D$3),IF(VLOOKUP($A41,Fragenkatalog!$A$1:$L$53,MATCH("Frage",Fragenkatalog!$1:$1,0),FALSE)=0,"",CONCATENATE(VLOOKUP(H41,LookupTabellen!$H$2:$I$3,2,FALSE),VLOOKUP($A41,Fragenkatalog!$A$1:$L$53,MATCH("Frage",Fragenkatalog!$1:$1,0),FALSE))),""),"")</f>
        <v>Wäre ein Abbruch der Entwicklung und Verwertung für die Einrichtung  tragbar?</v>
      </c>
      <c r="Q41" s="224" t="str">
        <f>VLOOKUP($A41,Fragenkatalog!$A$1:$L$53,MATCH(Q$35,Fragenkatalog!$1:$1,0),FALSE)</f>
        <v xml:space="preserve">Wird keine Verwertung gestartet oder muss diese abgebrochen werden kann dies negative Auswirkungen für die Einrichtung haben. Dies kann beispielsweise den Verlust von Ansehen bis hin zu finanziellen Verlusten reichen.  </v>
      </c>
      <c r="U41" s="26"/>
      <c r="V41" s="54"/>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row>
    <row r="42" spans="1:62" ht="25" thickBot="1" x14ac:dyDescent="0.25">
      <c r="A42" s="51"/>
      <c r="B42" s="51"/>
      <c r="C42" s="51"/>
      <c r="D42" s="51"/>
      <c r="E42" s="219">
        <f>IFERROR(SUM(K35:K41)/SUM(I35:I41),0)</f>
        <v>0</v>
      </c>
      <c r="F42" s="220">
        <f>IFERROR(SUM(J35:J41)/SUM(I35:I41),0)</f>
        <v>0</v>
      </c>
      <c r="G42" s="220">
        <f>IFERROR(SUM(N36:N41)/(COUNTIF(F36:F41,"&lt;&gt;nicht relevant")),"Bewertung nicht möglich")</f>
        <v>0</v>
      </c>
      <c r="Q42" s="1"/>
      <c r="U42" s="26"/>
      <c r="V42" s="54"/>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row>
    <row r="43" spans="1:62" ht="17" thickBot="1" x14ac:dyDescent="0.25">
      <c r="A43" s="51"/>
      <c r="B43" s="51"/>
      <c r="C43" s="51"/>
      <c r="D43" s="51"/>
      <c r="E43" s="79" t="s">
        <v>465</v>
      </c>
      <c r="F43" s="79" t="s">
        <v>466</v>
      </c>
      <c r="G43" s="79" t="s">
        <v>192</v>
      </c>
      <c r="H43" s="51"/>
      <c r="I43" s="51"/>
      <c r="J43" s="51"/>
      <c r="K43" s="51"/>
      <c r="L43" s="51"/>
      <c r="M43" s="51"/>
      <c r="N43" s="51"/>
      <c r="O43" s="51"/>
      <c r="P43" s="51"/>
      <c r="Q43" s="51"/>
      <c r="U43" s="26"/>
      <c r="V43" s="54"/>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row>
    <row r="44" spans="1:62" ht="27" thickBot="1" x14ac:dyDescent="0.25">
      <c r="A44" s="200" t="s">
        <v>121</v>
      </c>
      <c r="B44" s="201"/>
      <c r="C44" s="201"/>
      <c r="D44" s="201"/>
      <c r="E44" s="201"/>
      <c r="F44" s="201"/>
      <c r="G44" s="201"/>
      <c r="H44" s="201"/>
      <c r="I44" s="201"/>
      <c r="J44" s="201"/>
      <c r="K44" s="201"/>
      <c r="L44" s="201"/>
      <c r="M44" s="201"/>
      <c r="N44" s="201"/>
      <c r="O44" s="201"/>
      <c r="P44" s="201"/>
      <c r="Q44" s="201"/>
      <c r="R44" s="54"/>
      <c r="S44" s="54"/>
      <c r="T44" s="54"/>
      <c r="U44" s="54" t="str">
        <f>IF(G44=LookupTabellen!$D$3,IF(VLOOKUP($A44,Fragenkatalog!$A$1:$L$53,MATCH("Frage",Fragenkatalog!$1:$1,0),FALSE)=0,"",VLOOKUP($A44,Fragenkatalog!$A$1:$L$53,MATCH("Frage",Fragenkatalog!$1:$1,0),FALSE)),"")</f>
        <v/>
      </c>
      <c r="V44" s="54"/>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row>
    <row r="45" spans="1:62" ht="49" thickBot="1" x14ac:dyDescent="0.25">
      <c r="A45" s="202" t="s">
        <v>112</v>
      </c>
      <c r="B45" s="203" t="s">
        <v>113</v>
      </c>
      <c r="C45" s="203" t="s">
        <v>463</v>
      </c>
      <c r="D45" s="203" t="s">
        <v>325</v>
      </c>
      <c r="E45" s="203" t="s">
        <v>458</v>
      </c>
      <c r="F45" s="204" t="s">
        <v>196</v>
      </c>
      <c r="G45" s="212" t="s">
        <v>190</v>
      </c>
      <c r="H45" s="204" t="s">
        <v>122</v>
      </c>
      <c r="I45" s="205" t="s">
        <v>267</v>
      </c>
      <c r="J45" s="205" t="s">
        <v>459</v>
      </c>
      <c r="K45" s="205" t="s">
        <v>460</v>
      </c>
      <c r="L45" s="205" t="s">
        <v>266</v>
      </c>
      <c r="M45" s="205" t="s">
        <v>462</v>
      </c>
      <c r="N45" s="205" t="s">
        <v>464</v>
      </c>
      <c r="O45" s="205" t="s">
        <v>307</v>
      </c>
      <c r="P45" s="205" t="s">
        <v>265</v>
      </c>
      <c r="Q45" s="203" t="s">
        <v>115</v>
      </c>
      <c r="U45" s="26"/>
      <c r="V45" s="54"/>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row>
    <row r="46" spans="1:62" ht="81" thickBot="1" x14ac:dyDescent="0.25">
      <c r="A46" s="75" t="s">
        <v>452</v>
      </c>
      <c r="B46" s="76" t="str">
        <f>VLOOKUP($A46,Fragenkatalog!$A$1:$L$53,MATCH(B$45,Fragenkatalog!$1:$1,0),FALSE)</f>
        <v>Gibt es für die Software einen belastbaren und ggfs. quantifizierbaren Bedarf, oder wird sich dieser in absehbarer Zukunft entwickeln?</v>
      </c>
      <c r="C46" s="77" t="str">
        <f>_xlfn.CONCAT("Nein: ",VLOOKUP($A46,Fragenkatalog!$A$1:$L$53,MATCH(C$13,Fragenkatalog!$1:$1,0),FALSE))</f>
        <v>Nein: Es gibt keinen Bedarf außerhalb der Einrichtung.</v>
      </c>
      <c r="D46" s="77" t="str">
        <f>VLOOKUP($A46,Fragenkatalog!$A$1:$L$53,MATCH(D$13,Fragenkatalog!$1:$1,0),FALSE)</f>
        <v>Es gibt noch keinen Bedarf, dieser wird sich aber in Zukunft entwickeln.</v>
      </c>
      <c r="E46" s="77" t="str">
        <f>_xlfn.CONCAT("Ja: ",VLOOKUP($A46,Fragenkatalog!$A$1:$L$53,MATCH(E$13,Fragenkatalog!$1:$1,0),FALSE))</f>
        <v>Ja: Es gibt einen Bedarf.</v>
      </c>
      <c r="F46" s="81"/>
      <c r="G46" s="82"/>
      <c r="H46" s="82" t="s">
        <v>197</v>
      </c>
      <c r="I46" s="2">
        <f>IF(F46=LookupTabellen!$A$7,0,IFERROR(VLOOKUP(A46,Fragenkatalog!A:N,13,FALSE),""))</f>
        <v>1</v>
      </c>
      <c r="J46" s="2">
        <f>IF(OR(F46="",AND(G46="",F46&lt;&gt;LookupTabellen!$A$6,F46&lt;&gt;LookupTabellen!$A$7)),0,IFERROR(VLOOKUP(F46,LookupTabellen!$A$3:$B$7,2,FALSE)*VLOOKUP(A46,Fragenkatalog!A:N,13,FALSE),""))</f>
        <v>0</v>
      </c>
      <c r="K46" s="2">
        <f>IF(OR(F46="",AND(G46="",F46&lt;&gt;LookupTabellen!$A$6,F46&lt;&gt;LookupTabellen!$A$7)),0,IFERROR(VLOOKUP(F46,LookupTabellen!$A$3:$C$7,3,FALSE)*VLOOKUP(G46,LookupTabellen!$D$3:$F$5,3,FALSE)*VLOOKUP(A46,Fragenkatalog!A:N,13,FALSE),""))</f>
        <v>0</v>
      </c>
      <c r="L46" s="2">
        <f>IF(F46=LookupTabellen!$A$6,0,IFERROR(ABS(VLOOKUP(A46,Fragenkatalog!A:N,14,FALSE)),""))</f>
        <v>1</v>
      </c>
      <c r="M46" s="2" t="str">
        <f>IFERROR((IF(VLOOKUP(A46,Fragenkatalog!A:N,14,FALSE)&lt;0,-4,0)+VLOOKUP(F46,LookupTabellen!$A$3:$B$7,2,FALSE))*VLOOKUP(A46,Fragenkatalog!A:N,14,FALSE),"")</f>
        <v/>
      </c>
      <c r="N46" s="2">
        <f>IFERROR(VLOOKUP(G46,LookupTabellen!$D$3:$E$5,2,FALSE)*AND(H46&lt;&gt;"Antwort auswählen",F46&lt;&gt;LookupTabellen!$A$6,F46&lt;&gt;LookupTabellen!$A$7),0)</f>
        <v>0</v>
      </c>
      <c r="O46" s="1" t="str">
        <f>IF(F46=LookupTabellen!$A$3,IF(VLOOKUP($A46,Fragenkatalog!$A$1:$L$53,MATCH($C$13,Fragenkatalog!$1:$1,0),FALSE)=0,"",CONCATENATE(VLOOKUP(H46,LookupTabellen!$H$2:$I$3,2,FALSE),VLOOKUP($A46,Fragenkatalog!$A$1:$L$53,MATCH($C$13,Fragenkatalog!$1:$1,0),FALSE))),"")</f>
        <v/>
      </c>
      <c r="P46" s="2" t="str">
        <f>IF(O46="",IF(OR(F46=LookupTabellen!$A$6,F46="",G46=LookupTabellen!$D$3),IF(VLOOKUP($A46,Fragenkatalog!$A$1:$L$53,MATCH("Frage",Fragenkatalog!$1:$1,0),FALSE)=0,"",CONCATENATE(VLOOKUP(H46,LookupTabellen!$H$2:$I$3,2,FALSE),VLOOKUP($A46,Fragenkatalog!$A$1:$L$53,MATCH("Frage",Fragenkatalog!$1:$1,0),FALSE))),""),"")</f>
        <v>Gibt es für die Software einen belastbaren und ggfs. quantifizierbaren Bedarf, oder wird sich dieser in absehbarer Zukunft entwickeln?</v>
      </c>
      <c r="Q46" s="78" t="str">
        <f>VLOOKUP($A46,Fragenkatalog!$A$1:$L$53,MATCH(Q$13,Fragenkatalog!$1:$1,0),FALSE)</f>
        <v>Allgemeine Frage zur Nachfrage der Software auf dem Markt. Gibt es bereits einen Bedarf für diese Software oder wird sich dieser in absehbarer Zukunft entwickeln?</v>
      </c>
      <c r="U46" s="26"/>
      <c r="V46" s="54"/>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row>
    <row r="47" spans="1:62" ht="49" thickBot="1" x14ac:dyDescent="0.25">
      <c r="A47" s="208" t="s">
        <v>453</v>
      </c>
      <c r="B47" s="209" t="str">
        <f>VLOOKUP($A47,Fragenkatalog!$A$1:$L$53,MATCH(B$45,Fragenkatalog!$1:$1,0),FALSE)</f>
        <v>Bietet die Software identifizierbare und quantifizierbare Vorteile für Kunden?</v>
      </c>
      <c r="C47" s="210" t="str">
        <f>_xlfn.CONCAT("Nein: ",VLOOKUP($A47,Fragenkatalog!$A$1:$L$53,MATCH(C$13,Fragenkatalog!$1:$1,0),FALSE))</f>
        <v>Nein: Die Software unterscheidet sich nicht sonderlich von Konkurenzprodukten.</v>
      </c>
      <c r="D47" s="210" t="str">
        <f>VLOOKUP($A47,Fragenkatalog!$A$1:$L$53,MATCH(D$45,Fragenkatalog!$1:$1,0),FALSE)</f>
        <v>Die Software bietet kleinere Vorteile für die Nutzer.</v>
      </c>
      <c r="E47" s="210" t="str">
        <f>_xlfn.CONCAT("Ja: ",VLOOKUP($A47,Fragenkatalog!$A$1:$L$53,MATCH(E$13,Fragenkatalog!$1:$1,0),FALSE))</f>
        <v>Ja: Software bietet erhebliche Vorteile für die Nutzer.</v>
      </c>
      <c r="F47" s="89"/>
      <c r="G47" s="90"/>
      <c r="H47" s="90" t="s">
        <v>197</v>
      </c>
      <c r="I47" s="2">
        <f>IF(F47=LookupTabellen!$A$7,0,IFERROR(VLOOKUP(A47,Fragenkatalog!A:N,13,FALSE),""))</f>
        <v>1</v>
      </c>
      <c r="J47" s="2">
        <f>IF(OR(F47="",AND(G47="",F47&lt;&gt;LookupTabellen!$A$6,F47&lt;&gt;LookupTabellen!$A$7)),0,IFERROR(VLOOKUP(F47,LookupTabellen!$A$3:$B$7,2,FALSE)*VLOOKUP(A47,Fragenkatalog!A:N,13,FALSE),""))</f>
        <v>0</v>
      </c>
      <c r="K47" s="2">
        <f>IF(OR(F47="",AND(G47="",F47&lt;&gt;LookupTabellen!$A$6,F47&lt;&gt;LookupTabellen!$A$7)),0,IFERROR(VLOOKUP(F47,LookupTabellen!$A$3:$C$7,3,FALSE)*VLOOKUP(G47,LookupTabellen!$D$3:$F$5,3,FALSE)*VLOOKUP(A47,Fragenkatalog!A:N,13,FALSE),""))</f>
        <v>0</v>
      </c>
      <c r="L47" s="2">
        <f>IF(F47=LookupTabellen!$A$6,0,IFERROR(ABS(VLOOKUP(A47,Fragenkatalog!A:N,14,FALSE)),""))</f>
        <v>1</v>
      </c>
      <c r="M47" s="2" t="str">
        <f>IFERROR((IF(VLOOKUP(A47,Fragenkatalog!A:N,14,FALSE)&lt;0,-4,0)+VLOOKUP(F47,LookupTabellen!$A$3:$B$7,2,FALSE))*VLOOKUP(A47,Fragenkatalog!A:N,14,FALSE),"")</f>
        <v/>
      </c>
      <c r="N47" s="2">
        <f>IFERROR(VLOOKUP(G47,LookupTabellen!$D$3:$E$5,2,FALSE)*AND(H47&lt;&gt;"Antwort auswählen",F47&lt;&gt;LookupTabellen!$A$6,F47&lt;&gt;LookupTabellen!$A$7),0)</f>
        <v>0</v>
      </c>
      <c r="O47" s="1" t="str">
        <f>IF(F47=LookupTabellen!$A$3,IF(VLOOKUP($A47,Fragenkatalog!$A$1:$L$53,MATCH($C$13,Fragenkatalog!$1:$1,0),FALSE)=0,"",CONCATENATE(VLOOKUP(H47,LookupTabellen!$H$2:$I$3,2,FALSE),VLOOKUP($A47,Fragenkatalog!$A$1:$L$53,MATCH($C$13,Fragenkatalog!$1:$1,0),FALSE))),"")</f>
        <v/>
      </c>
      <c r="P47" s="2" t="str">
        <f>IF(O47="",IF(OR(F47=LookupTabellen!$A$6,F47="",G47=LookupTabellen!$D$3),IF(VLOOKUP($A47,Fragenkatalog!$A$1:$L$53,MATCH("Frage",Fragenkatalog!$1:$1,0),FALSE)=0,"",CONCATENATE(VLOOKUP(H47,LookupTabellen!$H$2:$I$3,2,FALSE),VLOOKUP($A47,Fragenkatalog!$A$1:$L$53,MATCH("Frage",Fragenkatalog!$1:$1,0),FALSE))),""),"")</f>
        <v>Bietet die Software identifizierbare und quantifizierbare Vorteile für Kunden?</v>
      </c>
      <c r="Q47" s="211" t="str">
        <f>VLOOKUP($A47,Fragenkatalog!$A$1:$L$53,MATCH(Q$45,Fragenkatalog!$1:$1,0),FALSE)</f>
        <v>Kleinere Vorteile wären vielleicht ein neues Userinterface. Man macht also das gleiche wie mit anderer Software, aber auf effizienterer Weise. Erhebliche Vorteile beinhalten higegen beispielsweise neuartige Funktionen.</v>
      </c>
      <c r="U47" s="26"/>
      <c r="V47" s="54"/>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row>
    <row r="48" spans="1:62" ht="81" thickBot="1" x14ac:dyDescent="0.25">
      <c r="A48" s="75" t="s">
        <v>454</v>
      </c>
      <c r="B48" s="76" t="str">
        <f>VLOOKUP($A48,Fragenkatalog!$A$1:$L$53,MATCH(B$45,Fragenkatalog!$1:$1,0),FALSE)</f>
        <v>Handelt es sich bei der Software um eine Kern- oder Plattformtechnologie, auf der weitere Software/Produkte aufgebaut werden können.</v>
      </c>
      <c r="C48" s="77" t="str">
        <f>_xlfn.CONCAT("Nein: ",VLOOKUP($A48,Fragenkatalog!$A$1:$L$53,MATCH(C$13,Fragenkatalog!$1:$1,0),FALSE))</f>
        <v>Nein: Die Software ist in sich geschlossen.</v>
      </c>
      <c r="D48" s="77" t="str">
        <f>VLOOKUP($A48,Fragenkatalog!$A$1:$L$53,MATCH(D$45,Fragenkatalog!$1:$1,0),FALSE)</f>
        <v>Andere können die Software erweitern und modifizieren.</v>
      </c>
      <c r="E48" s="77" t="str">
        <f>_xlfn.CONCAT("Ja: ",VLOOKUP($A48,Fragenkatalog!$A$1:$L$53,MATCH(E$13,Fragenkatalog!$1:$1,0),FALSE))</f>
        <v>Ja: Die Software ermöglicht es Anderen ihre eigene Software basierend auf dieser zu entwickeln.</v>
      </c>
      <c r="F48" s="81"/>
      <c r="G48" s="82"/>
      <c r="H48" s="82" t="s">
        <v>197</v>
      </c>
      <c r="I48" s="2">
        <f>IF(F48=LookupTabellen!$A$7,0,IFERROR(VLOOKUP(A48,Fragenkatalog!A:N,13,FALSE),""))</f>
        <v>1</v>
      </c>
      <c r="J48" s="2">
        <f>IF(OR(F48="",AND(G48="",F48&lt;&gt;LookupTabellen!$A$6,F48&lt;&gt;LookupTabellen!$A$7)),0,IFERROR(VLOOKUP(F48,LookupTabellen!$A$3:$B$7,2,FALSE)*VLOOKUP(A48,Fragenkatalog!A:N,13,FALSE),""))</f>
        <v>0</v>
      </c>
      <c r="K48" s="2">
        <f>IF(OR(F48="",AND(G48="",F48&lt;&gt;LookupTabellen!$A$6,F48&lt;&gt;LookupTabellen!$A$7)),0,IFERROR(VLOOKUP(F48,LookupTabellen!$A$3:$C$7,3,FALSE)*VLOOKUP(G48,LookupTabellen!$D$3:$F$5,3,FALSE)*VLOOKUP(A48,Fragenkatalog!A:N,13,FALSE),""))</f>
        <v>0</v>
      </c>
      <c r="L48" s="2">
        <f>IF(F48=LookupTabellen!$A$6,0,IFERROR(ABS(VLOOKUP(A48,Fragenkatalog!A:N,14,FALSE)),""))</f>
        <v>0.6</v>
      </c>
      <c r="M48" s="2" t="str">
        <f>IFERROR((IF(VLOOKUP(A48,Fragenkatalog!A:N,14,FALSE)&lt;0,-4,0)+VLOOKUP(F48,LookupTabellen!$A$3:$B$7,2,FALSE))*VLOOKUP(A48,Fragenkatalog!A:N,14,FALSE),"")</f>
        <v/>
      </c>
      <c r="N48" s="2">
        <f>IFERROR(VLOOKUP(G48,LookupTabellen!$D$3:$E$5,2,FALSE)*AND(H48&lt;&gt;"Antwort auswählen",F48&lt;&gt;LookupTabellen!$A$6,F48&lt;&gt;LookupTabellen!$A$7),0)</f>
        <v>0</v>
      </c>
      <c r="O48" s="1" t="str">
        <f>IF(F48=LookupTabellen!$A$3,IF(VLOOKUP($A48,Fragenkatalog!$A$1:$L$53,MATCH($C$13,Fragenkatalog!$1:$1,0),FALSE)=0,"",CONCATENATE(VLOOKUP(H48,LookupTabellen!$H$2:$I$3,2,FALSE),VLOOKUP($A48,Fragenkatalog!$A$1:$L$53,MATCH($C$13,Fragenkatalog!$1:$1,0),FALSE))),"")</f>
        <v/>
      </c>
      <c r="P48" s="2" t="str">
        <f>IF(O48="",IF(OR(F48=LookupTabellen!$A$6,F48="",G48=LookupTabellen!$D$3),IF(VLOOKUP($A48,Fragenkatalog!$A$1:$L$53,MATCH("Frage",Fragenkatalog!$1:$1,0),FALSE)=0,"",CONCATENATE(VLOOKUP(H48,LookupTabellen!$H$2:$I$3,2,FALSE),VLOOKUP($A48,Fragenkatalog!$A$1:$L$53,MATCH("Frage",Fragenkatalog!$1:$1,0),FALSE))),""),"")</f>
        <v>Handelt es sich bei der Software um eine Kern- oder Plattformtechnologie, auf der weitere Software/Produkte aufgebaut werden können.</v>
      </c>
      <c r="Q48" s="78" t="str">
        <f>VLOOKUP($A48,Fragenkatalog!$A$1:$L$53,MATCH(Q$45,Fragenkatalog!$1:$1,0),FALSE)</f>
        <v>Wenn die Möglichkeit besteht, dass (auch von anderen Entwicklern) weitere Anwendungen mit oder basierend auf der Software erstellt werden können, bietet dies Möglichkeiten der kommerziellen Nutzung (z.B. Lizensierung)</v>
      </c>
      <c r="U48" s="26"/>
      <c r="V48" s="54"/>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row>
    <row r="49" spans="1:62" ht="49" thickBot="1" x14ac:dyDescent="0.25">
      <c r="A49" s="208" t="s">
        <v>455</v>
      </c>
      <c r="B49" s="209" t="str">
        <f>VLOOKUP($A49,Fragenkatalog!$A$1:$L$53,MATCH(B$45,Fragenkatalog!$1:$1,0),FALSE)</f>
        <v>Gibt es keine vergleichbaren Produkte auf dem Markt?</v>
      </c>
      <c r="C49" s="210" t="str">
        <f>_xlfn.CONCAT("Nein: ",VLOOKUP($A49,Fragenkatalog!$A$1:$L$53,MATCH(C$13,Fragenkatalog!$1:$1,0),FALSE))</f>
        <v>Nein: Es gibt bereits etablierte Produkte auf dem Markt.</v>
      </c>
      <c r="D49" s="210" t="str">
        <f>VLOOKUP($A49,Fragenkatalog!$A$1:$L$53,MATCH(D$45,Fragenkatalog!$1:$1,0),FALSE)</f>
        <v>Vergleichbare Produkte befinden sich in der Entwicklung.</v>
      </c>
      <c r="E49" s="210" t="str">
        <f>_xlfn.CONCAT("Ja: ",VLOOKUP($A49,Fragenkatalog!$A$1:$L$53,MATCH(E$13,Fragenkatalog!$1:$1,0),FALSE))</f>
        <v>Ja: Es gibt keine vergleichbare Produkte und nach aktuellem Stand wird auch nichts entwickelt.</v>
      </c>
      <c r="F49" s="89"/>
      <c r="G49" s="90"/>
      <c r="H49" s="90" t="s">
        <v>197</v>
      </c>
      <c r="I49" s="2">
        <f>IF(F49=LookupTabellen!$A$7,0,IFERROR(VLOOKUP(A49,Fragenkatalog!A:N,13,FALSE),""))</f>
        <v>1</v>
      </c>
      <c r="J49" s="2">
        <f>IF(OR(F49="",AND(G49="",F49&lt;&gt;LookupTabellen!$A$6,F49&lt;&gt;LookupTabellen!$A$7)),0,IFERROR(VLOOKUP(F49,LookupTabellen!$A$3:$B$7,2,FALSE)*VLOOKUP(A49,Fragenkatalog!A:N,13,FALSE),""))</f>
        <v>0</v>
      </c>
      <c r="K49" s="2">
        <f>IF(OR(F49="",AND(G49="",F49&lt;&gt;LookupTabellen!$A$6,F49&lt;&gt;LookupTabellen!$A$7)),0,IFERROR(VLOOKUP(F49,LookupTabellen!$A$3:$C$7,3,FALSE)*VLOOKUP(G49,LookupTabellen!$D$3:$F$5,3,FALSE)*VLOOKUP(A49,Fragenkatalog!A:N,13,FALSE),""))</f>
        <v>0</v>
      </c>
      <c r="L49" s="2">
        <f>IF(F49=LookupTabellen!$A$6,0,IFERROR(ABS(VLOOKUP(A49,Fragenkatalog!A:N,14,FALSE)),""))</f>
        <v>0.5</v>
      </c>
      <c r="M49" s="2" t="str">
        <f>IFERROR((IF(VLOOKUP(A49,Fragenkatalog!A:N,14,FALSE)&lt;0,-4,0)+VLOOKUP(F49,LookupTabellen!$A$3:$B$7,2,FALSE))*VLOOKUP(A49,Fragenkatalog!A:N,14,FALSE),"")</f>
        <v/>
      </c>
      <c r="N49" s="2">
        <f>IFERROR(VLOOKUP(G49,LookupTabellen!$D$3:$E$5,2,FALSE)*AND(H49&lt;&gt;"Antwort auswählen",F49&lt;&gt;LookupTabellen!$A$6,F49&lt;&gt;LookupTabellen!$A$7),0)</f>
        <v>0</v>
      </c>
      <c r="O49" s="1" t="str">
        <f>IF(F49=LookupTabellen!$A$3,IF(VLOOKUP($A49,Fragenkatalog!$A$1:$L$53,MATCH($C$13,Fragenkatalog!$1:$1,0),FALSE)=0,"",CONCATENATE(VLOOKUP(H49,LookupTabellen!$H$2:$I$3,2,FALSE),VLOOKUP($A49,Fragenkatalog!$A$1:$L$53,MATCH($C$13,Fragenkatalog!$1:$1,0),FALSE))),"")</f>
        <v/>
      </c>
      <c r="P49" s="2" t="str">
        <f>IF(O49="",IF(OR(F49=LookupTabellen!$A$6,F49="",G49=LookupTabellen!$D$3),IF(VLOOKUP($A49,Fragenkatalog!$A$1:$L$53,MATCH("Frage",Fragenkatalog!$1:$1,0),FALSE)=0,"",CONCATENATE(VLOOKUP(H49,LookupTabellen!$H$2:$I$3,2,FALSE),VLOOKUP($A49,Fragenkatalog!$A$1:$L$53,MATCH("Frage",Fragenkatalog!$1:$1,0),FALSE))),""),"")</f>
        <v>Gibt es keine vergleichbaren Produkte auf dem Markt?</v>
      </c>
      <c r="Q49" s="211" t="str">
        <f>VLOOKUP($A49,Fragenkatalog!$A$1:$L$53,MATCH(Q$45,Fragenkatalog!$1:$1,0),FALSE)</f>
        <v>Im Sinne von Konkurenzprodukten:Vergleichbare Produkte müssen keine direkten Kopien sein, es können verschiedene Produkte sein, mit denen die gleichen Aufgaben gelöst werden können und mit denen man auf dem Markt in Konkurenz tritt.</v>
      </c>
      <c r="U49" s="26"/>
      <c r="V49" s="54"/>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row>
    <row r="50" spans="1:62" ht="49" thickBot="1" x14ac:dyDescent="0.25">
      <c r="A50" s="75" t="s">
        <v>456</v>
      </c>
      <c r="B50" s="76" t="str">
        <f>VLOOKUP($A50,Fragenkatalog!$A$1:$L$53,MATCH(B$45,Fragenkatalog!$1:$1,0),FALSE)</f>
        <v>Ist die Software durch Aufwand nicht replizierbar?</v>
      </c>
      <c r="C50" s="77" t="str">
        <f>_xlfn.CONCAT("Nein: ",VLOOKUP($A50,Fragenkatalog!$A$1:$L$53,MATCH(C$13,Fragenkatalog!$1:$1,0),FALSE))</f>
        <v>Nein: Die Software ist replizierbar.</v>
      </c>
      <c r="D50" s="77" t="str">
        <f>VLOOKUP($A50,Fragenkatalog!$A$1:$L$53,MATCH(D$45,Fragenkatalog!$1:$1,0),FALSE)</f>
        <v>Die Software ist durch großen Aufwand replizierbar.</v>
      </c>
      <c r="E50" s="77" t="str">
        <f>_xlfn.CONCAT("Ja: ",VLOOKUP($A50,Fragenkatalog!$A$1:$L$53,MATCH(E$13,Fragenkatalog!$1:$1,0),FALSE))</f>
        <v>Ja: Die Software ist nicht replizierbar</v>
      </c>
      <c r="F50" s="81"/>
      <c r="G50" s="82"/>
      <c r="H50" s="82" t="s">
        <v>197</v>
      </c>
      <c r="I50" s="2">
        <f>IF(F50=LookupTabellen!$A$7,0,IFERROR(VLOOKUP(A50,Fragenkatalog!A:N,13,FALSE),""))</f>
        <v>1</v>
      </c>
      <c r="J50" s="2">
        <f>IF(OR(F50="",AND(G50="",F50&lt;&gt;LookupTabellen!$A$6,F50&lt;&gt;LookupTabellen!$A$7)),0,IFERROR(VLOOKUP(F50,LookupTabellen!$A$3:$B$7,2,FALSE)*VLOOKUP(A50,Fragenkatalog!A:N,13,FALSE),""))</f>
        <v>0</v>
      </c>
      <c r="K50" s="2">
        <f>IF(OR(F50="",AND(G50="",F50&lt;&gt;LookupTabellen!$A$6,F50&lt;&gt;LookupTabellen!$A$7)),0,IFERROR(VLOOKUP(F50,LookupTabellen!$A$3:$C$7,3,FALSE)*VLOOKUP(G50,LookupTabellen!$D$3:$F$5,3,FALSE)*VLOOKUP(A50,Fragenkatalog!A:N,13,FALSE),""))</f>
        <v>0</v>
      </c>
      <c r="L50" s="2">
        <f>IF(F50=LookupTabellen!$A$6,0,IFERROR(ABS(VLOOKUP(A50,Fragenkatalog!A:N,14,FALSE)),""))</f>
        <v>0.25</v>
      </c>
      <c r="M50" s="2" t="str">
        <f>IFERROR((IF(VLOOKUP(A50,Fragenkatalog!A:N,14,FALSE)&lt;0,-4,0)+VLOOKUP(F50,LookupTabellen!$A$3:$B$7,2,FALSE))*VLOOKUP(A50,Fragenkatalog!A:N,14,FALSE),"")</f>
        <v/>
      </c>
      <c r="N50" s="2">
        <f>IFERROR(VLOOKUP(G50,LookupTabellen!$D$3:$E$5,2,FALSE)*AND(H50&lt;&gt;"Antwort auswählen",F50&lt;&gt;LookupTabellen!$A$6,F50&lt;&gt;LookupTabellen!$A$7),0)</f>
        <v>0</v>
      </c>
      <c r="O50" s="1" t="str">
        <f>IF(F50=LookupTabellen!$A$3,IF(VLOOKUP($A50,Fragenkatalog!$A$1:$L$53,MATCH($C$13,Fragenkatalog!$1:$1,0),FALSE)=0,"",CONCATENATE(VLOOKUP(H50,LookupTabellen!$H$2:$I$3,2,FALSE),VLOOKUP($A50,Fragenkatalog!$A$1:$L$53,MATCH($C$13,Fragenkatalog!$1:$1,0),FALSE))),"")</f>
        <v/>
      </c>
      <c r="P50" s="2" t="str">
        <f>IF(O50="",IF(OR(F50=LookupTabellen!$A$6,F50="",G50=LookupTabellen!$D$3),IF(VLOOKUP($A50,Fragenkatalog!$A$1:$L$53,MATCH("Frage",Fragenkatalog!$1:$1,0),FALSE)=0,"",CONCATENATE(VLOOKUP(H50,LookupTabellen!$H$2:$I$3,2,FALSE),VLOOKUP($A50,Fragenkatalog!$A$1:$L$53,MATCH("Frage",Fragenkatalog!$1:$1,0),FALSE))),""),"")</f>
        <v>Ist die Software durch Aufwand nicht replizierbar?</v>
      </c>
      <c r="Q50" s="78" t="str">
        <f>VLOOKUP($A50,Fragenkatalog!$A$1:$L$53,MATCH(Q$45,Fragenkatalog!$1:$1,0),FALSE)</f>
        <v>Um eine vergleichbare Software zu erstellen, wie große wäre der Aufwand dafür. Aufwand kann sich dabei sowohl auf die benötigten Ressourcen (Zeit, Geld, spezielle Technologien, Daten) beziehen als auch auf Know-How (Entwicklung, Forschung).</v>
      </c>
      <c r="U50" s="26"/>
      <c r="V50" s="54"/>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row>
    <row r="51" spans="1:62" ht="33" thickBot="1" x14ac:dyDescent="0.25">
      <c r="A51" s="208" t="s">
        <v>457</v>
      </c>
      <c r="B51" s="209" t="str">
        <f>VLOOKUP($A51,Fragenkatalog!$A$1:$L$53,MATCH(B$45,Fragenkatalog!$1:$1,0),FALSE)</f>
        <v>Kann mit der Verwertung der Software Gewinn erzielt werden?</v>
      </c>
      <c r="C51" s="210" t="str">
        <f>_xlfn.CONCAT("Nein: ",VLOOKUP($A51,Fragenkatalog!$A$1:$L$53,MATCH(C$13,Fragenkatalog!$1:$1,0),FALSE))</f>
        <v>Nein: Es wird ein Verlust erwartet.</v>
      </c>
      <c r="D51" s="210" t="str">
        <f>VLOOKUP($A51,Fragenkatalog!$A$1:$L$53,MATCH(D$45,Fragenkatalog!$1:$1,0),FALSE)</f>
        <v>Verwertung wäre kostenneutral.</v>
      </c>
      <c r="E51" s="210" t="str">
        <f>_xlfn.CONCAT("Ja: ",VLOOKUP($A51,Fragenkatalog!$A$1:$L$53,MATCH(E$13,Fragenkatalog!$1:$1,0),FALSE))</f>
        <v>Ja: Ein Gewinn wird erwartet.</v>
      </c>
      <c r="F51" s="89"/>
      <c r="G51" s="90"/>
      <c r="H51" s="90" t="s">
        <v>197</v>
      </c>
      <c r="I51" s="2">
        <f>IF(F51=LookupTabellen!$A$7,0,IFERROR(VLOOKUP(A51,Fragenkatalog!A:N,13,FALSE),""))</f>
        <v>1</v>
      </c>
      <c r="J51" s="2">
        <f>IF(OR(F51="",AND(G51="",F51&lt;&gt;LookupTabellen!$A$6,F51&lt;&gt;LookupTabellen!$A$7)),0,IFERROR(VLOOKUP(F51,LookupTabellen!$A$3:$B$7,2,FALSE)*VLOOKUP(A51,Fragenkatalog!A:N,13,FALSE),""))</f>
        <v>0</v>
      </c>
      <c r="K51" s="2">
        <f>IF(OR(F51="",AND(G51="",F51&lt;&gt;LookupTabellen!$A$6,F51&lt;&gt;LookupTabellen!$A$7)),0,IFERROR(VLOOKUP(F51,LookupTabellen!$A$3:$C$7,3,FALSE)*VLOOKUP(G51,LookupTabellen!$D$3:$F$5,3,FALSE)*VLOOKUP(A51,Fragenkatalog!A:N,13,FALSE),""))</f>
        <v>0</v>
      </c>
      <c r="L51" s="2">
        <f>IF(F51=LookupTabellen!$A$6,0,IFERROR(ABS(VLOOKUP(A51,Fragenkatalog!A:N,14,FALSE)),""))</f>
        <v>1</v>
      </c>
      <c r="M51" s="2" t="str">
        <f>IFERROR((IF(VLOOKUP(A51,Fragenkatalog!A:N,14,FALSE)&lt;0,-4,0)+VLOOKUP(F51,LookupTabellen!$A$3:$B$7,2,FALSE))*VLOOKUP(A51,Fragenkatalog!A:N,14,FALSE),"")</f>
        <v/>
      </c>
      <c r="N51" s="2">
        <f>IFERROR(VLOOKUP(G51,LookupTabellen!$D$3:$E$5,2,FALSE)*AND(H51&lt;&gt;"Antwort auswählen",F51&lt;&gt;LookupTabellen!$A$6,F51&lt;&gt;LookupTabellen!$A$7),0)</f>
        <v>0</v>
      </c>
      <c r="O51" s="1" t="str">
        <f>IF(F51=LookupTabellen!$A$3,IF(VLOOKUP($A51,Fragenkatalog!$A$1:$L$53,MATCH($C$13,Fragenkatalog!$1:$1,0),FALSE)=0,"",CONCATENATE(VLOOKUP(H51,LookupTabellen!$H$2:$I$3,2,FALSE),VLOOKUP($A51,Fragenkatalog!$A$1:$L$53,MATCH($C$13,Fragenkatalog!$1:$1,0),FALSE))),"")</f>
        <v/>
      </c>
      <c r="P51" s="2" t="str">
        <f>IF(O51="",IF(OR(F51=LookupTabellen!$A$6,F51="",G51=LookupTabellen!$D$3),IF(VLOOKUP($A51,Fragenkatalog!$A$1:$L$53,MATCH("Frage",Fragenkatalog!$1:$1,0),FALSE)=0,"",CONCATENATE(VLOOKUP(H51,LookupTabellen!$H$2:$I$3,2,FALSE),VLOOKUP($A51,Fragenkatalog!$A$1:$L$53,MATCH("Frage",Fragenkatalog!$1:$1,0),FALSE))),""),"")</f>
        <v>Kann mit der Verwertung der Software Gewinn erzielt werden?</v>
      </c>
      <c r="Q51" s="211" t="str">
        <f>VLOOKUP($A51,Fragenkatalog!$A$1:$L$53,MATCH(Q$45,Fragenkatalog!$1:$1,0),FALSE)</f>
        <v>Gewinn = positiver "Return of Investment"</v>
      </c>
      <c r="U51" s="26"/>
      <c r="V51" s="54"/>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row>
    <row r="52" spans="1:62" ht="25" thickBot="1" x14ac:dyDescent="0.25">
      <c r="A52" s="51"/>
      <c r="B52" s="51"/>
      <c r="C52" s="51"/>
      <c r="D52" s="51"/>
      <c r="E52" s="206">
        <f>IFERROR(SUM(K45:K51)/SUM(I45:I51),0)</f>
        <v>0</v>
      </c>
      <c r="F52" s="207">
        <f>IFERROR(SUM(J45:J51)/SUM(I45:I51),0)</f>
        <v>0</v>
      </c>
      <c r="G52" s="207">
        <f>IFERROR(SUM(N46:N51)/(COUNTIF(F46:F51,"&lt;&gt;nicht relevant")),"Bewertung nicht möglich")</f>
        <v>0</v>
      </c>
      <c r="Q52" s="1"/>
      <c r="U52" s="26"/>
      <c r="V52" s="54"/>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row>
    <row r="53" spans="1:62" ht="16" x14ac:dyDescent="0.2">
      <c r="A53" s="51"/>
      <c r="B53" s="51"/>
      <c r="C53" s="51"/>
      <c r="D53" s="51"/>
      <c r="E53" s="79" t="s">
        <v>465</v>
      </c>
      <c r="F53" s="79" t="s">
        <v>466</v>
      </c>
      <c r="G53" s="79" t="s">
        <v>192</v>
      </c>
      <c r="H53" s="51"/>
      <c r="I53" s="51"/>
      <c r="J53" s="51"/>
      <c r="K53" s="51"/>
      <c r="L53" s="51"/>
      <c r="M53" s="51"/>
      <c r="N53" s="51"/>
      <c r="O53" s="51"/>
      <c r="P53" s="51"/>
      <c r="Q53" s="51"/>
      <c r="U53" s="26"/>
      <c r="V53" s="54"/>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row>
    <row r="54" spans="1:62" x14ac:dyDescent="0.2">
      <c r="A54" s="51"/>
      <c r="B54" s="51"/>
      <c r="C54" s="51"/>
      <c r="D54" s="51"/>
      <c r="E54" s="51"/>
      <c r="F54" s="51"/>
      <c r="Q54" s="51"/>
      <c r="R54" s="80"/>
      <c r="S54" s="80"/>
      <c r="T54" s="54"/>
      <c r="V54" s="54"/>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row>
    <row r="55" spans="1:62" x14ac:dyDescent="0.2">
      <c r="A55" s="51"/>
      <c r="B55" s="51"/>
      <c r="C55" s="51"/>
      <c r="D55" s="51"/>
      <c r="E55" s="51"/>
      <c r="F55" s="51"/>
      <c r="Q55" s="51"/>
      <c r="R55" s="80"/>
      <c r="S55" s="80"/>
      <c r="T55" s="54"/>
      <c r="V55" s="54"/>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row>
    <row r="56" spans="1:62" x14ac:dyDescent="0.2">
      <c r="A56" s="51"/>
      <c r="B56" s="51"/>
      <c r="C56" s="51"/>
      <c r="D56" s="51"/>
      <c r="E56" s="51"/>
      <c r="F56" s="51"/>
      <c r="Q56" s="51"/>
      <c r="R56" s="80"/>
      <c r="S56" s="80"/>
      <c r="T56" s="54"/>
      <c r="V56" s="54"/>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row>
    <row r="57" spans="1:62" x14ac:dyDescent="0.2">
      <c r="A57" s="51"/>
      <c r="B57" s="51"/>
      <c r="C57" s="51"/>
      <c r="D57" s="51"/>
      <c r="E57" s="51"/>
      <c r="F57" s="51"/>
      <c r="Q57" s="51"/>
      <c r="R57" s="80"/>
      <c r="S57" s="80"/>
      <c r="T57" s="54"/>
      <c r="V57" s="54"/>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row>
    <row r="58" spans="1:62" x14ac:dyDescent="0.2">
      <c r="A58" s="51"/>
      <c r="B58" s="51"/>
      <c r="C58" s="51"/>
      <c r="D58" s="51"/>
      <c r="E58" s="51"/>
      <c r="F58" s="51"/>
      <c r="Q58" s="51"/>
      <c r="R58" s="80"/>
      <c r="S58" s="80"/>
      <c r="T58" s="54"/>
      <c r="V58" s="54"/>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row>
    <row r="59" spans="1:62" x14ac:dyDescent="0.2">
      <c r="A59" s="51"/>
      <c r="B59" s="51"/>
      <c r="C59" s="51"/>
      <c r="D59" s="51"/>
      <c r="E59" s="51"/>
      <c r="F59" s="51"/>
      <c r="Q59" s="51"/>
      <c r="R59" s="80"/>
      <c r="S59" s="80"/>
      <c r="T59" s="54"/>
      <c r="V59" s="54"/>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row>
    <row r="60" spans="1:62" x14ac:dyDescent="0.2">
      <c r="A60" s="51"/>
      <c r="B60" s="51"/>
      <c r="C60" s="51"/>
      <c r="D60" s="51"/>
      <c r="E60" s="51"/>
      <c r="F60" s="51"/>
      <c r="Q60" s="51"/>
      <c r="R60" s="80"/>
      <c r="S60" s="80"/>
      <c r="T60" s="54"/>
      <c r="V60" s="54"/>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row>
    <row r="61" spans="1:62" x14ac:dyDescent="0.2">
      <c r="A61" s="51"/>
      <c r="B61" s="51"/>
      <c r="C61" s="51"/>
      <c r="D61" s="51"/>
      <c r="E61" s="51"/>
      <c r="F61" s="51"/>
      <c r="Q61" s="51"/>
      <c r="R61" s="80"/>
      <c r="S61" s="80"/>
      <c r="T61" s="54"/>
      <c r="V61" s="54"/>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row>
    <row r="62" spans="1:62" x14ac:dyDescent="0.2">
      <c r="A62" s="51"/>
      <c r="B62" s="51"/>
      <c r="C62" s="51"/>
      <c r="D62" s="51"/>
      <c r="E62" s="51"/>
      <c r="F62" s="51"/>
      <c r="G62" s="51"/>
      <c r="H62" s="51"/>
      <c r="I62" s="51"/>
      <c r="J62" s="51"/>
      <c r="K62" s="51"/>
      <c r="L62" s="51"/>
      <c r="M62" s="51"/>
      <c r="N62" s="51"/>
      <c r="O62" s="51"/>
      <c r="P62" s="51"/>
      <c r="Q62" s="51"/>
      <c r="R62" s="80"/>
      <c r="S62" s="80"/>
      <c r="T62" s="54"/>
      <c r="V62" s="54"/>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row>
    <row r="63" spans="1:62" x14ac:dyDescent="0.2">
      <c r="A63" s="51"/>
      <c r="B63" s="51"/>
      <c r="C63" s="51"/>
      <c r="D63" s="51"/>
      <c r="E63" s="51"/>
      <c r="F63" s="51"/>
      <c r="G63" s="51"/>
      <c r="H63" s="51"/>
      <c r="I63" s="51"/>
      <c r="J63" s="51"/>
      <c r="K63" s="51"/>
      <c r="L63" s="51"/>
      <c r="M63" s="51"/>
      <c r="N63" s="51"/>
      <c r="O63" s="51"/>
      <c r="P63" s="51"/>
      <c r="Q63" s="51"/>
      <c r="R63" s="80"/>
      <c r="S63" s="80"/>
      <c r="T63" s="54"/>
      <c r="V63" s="54"/>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row>
    <row r="64" spans="1:62" x14ac:dyDescent="0.2">
      <c r="A64" s="51"/>
      <c r="B64" s="51"/>
      <c r="C64" s="51"/>
      <c r="D64" s="51"/>
      <c r="E64" s="51"/>
      <c r="F64" s="51"/>
      <c r="G64" s="51"/>
      <c r="H64" s="51"/>
      <c r="I64" s="51"/>
      <c r="J64" s="51"/>
      <c r="K64" s="51"/>
      <c r="L64" s="51"/>
      <c r="M64" s="51"/>
      <c r="N64" s="51"/>
      <c r="O64" s="51"/>
      <c r="P64" s="51"/>
      <c r="Q64" s="51"/>
      <c r="R64" s="80"/>
      <c r="S64" s="80"/>
      <c r="T64" s="54"/>
      <c r="V64" s="54"/>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row>
    <row r="65" spans="1:62" x14ac:dyDescent="0.2">
      <c r="A65" s="51"/>
      <c r="B65" s="51"/>
      <c r="C65" s="51"/>
      <c r="D65" s="51"/>
      <c r="E65" s="51"/>
      <c r="F65" s="51"/>
      <c r="G65" s="51"/>
      <c r="H65" s="51"/>
      <c r="I65" s="51"/>
      <c r="J65" s="51"/>
      <c r="K65" s="51"/>
      <c r="L65" s="51"/>
      <c r="M65" s="51"/>
      <c r="N65" s="51"/>
      <c r="O65" s="51"/>
      <c r="P65" s="51"/>
      <c r="Q65" s="51"/>
      <c r="R65" s="80"/>
      <c r="S65" s="80"/>
      <c r="T65" s="54"/>
      <c r="V65" s="54"/>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row>
    <row r="66" spans="1:62" x14ac:dyDescent="0.2">
      <c r="A66" s="51"/>
      <c r="B66" s="51"/>
      <c r="C66" s="51"/>
      <c r="D66" s="51"/>
      <c r="E66" s="51"/>
      <c r="F66" s="51"/>
      <c r="G66" s="51"/>
      <c r="H66" s="51"/>
      <c r="I66" s="51"/>
      <c r="J66" s="51"/>
      <c r="K66" s="51"/>
      <c r="L66" s="51"/>
      <c r="M66" s="51"/>
      <c r="N66" s="51"/>
      <c r="O66" s="51"/>
      <c r="P66" s="51"/>
      <c r="Q66" s="51"/>
      <c r="R66" s="80"/>
      <c r="S66" s="80"/>
      <c r="T66" s="54"/>
      <c r="V66" s="54"/>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row>
    <row r="67" spans="1:62" x14ac:dyDescent="0.2">
      <c r="A67" s="2"/>
      <c r="B67" s="2"/>
      <c r="C67" s="2"/>
      <c r="D67" s="2"/>
      <c r="E67" s="2"/>
      <c r="F67" s="2"/>
      <c r="G67" s="2"/>
      <c r="H67" s="2"/>
      <c r="I67" s="2"/>
      <c r="J67" s="2"/>
      <c r="K67" s="2"/>
      <c r="L67" s="2"/>
      <c r="M67" s="2"/>
      <c r="N67" s="2"/>
      <c r="O67" s="2"/>
      <c r="P67" s="2"/>
      <c r="R67" s="54"/>
      <c r="S67" s="54"/>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row>
  </sheetData>
  <sheetProtection sheet="1" selectLockedCells="1"/>
  <dataConsolidate/>
  <mergeCells count="16">
    <mergeCell ref="A6:B9"/>
    <mergeCell ref="C6:D9"/>
    <mergeCell ref="A10:D10"/>
    <mergeCell ref="A11:G11"/>
    <mergeCell ref="A44:Q44"/>
    <mergeCell ref="A34:Q34"/>
    <mergeCell ref="A23:Q23"/>
    <mergeCell ref="A12:Q12"/>
    <mergeCell ref="A1:G1"/>
    <mergeCell ref="A3:D3"/>
    <mergeCell ref="E3:G3"/>
    <mergeCell ref="A4:B4"/>
    <mergeCell ref="A5:B5"/>
    <mergeCell ref="C4:D4"/>
    <mergeCell ref="C5:D5"/>
    <mergeCell ref="A2:G2"/>
  </mergeCells>
  <dataValidations xWindow="1305" yWindow="766" count="4">
    <dataValidation type="list" allowBlank="1" showInputMessage="1" showErrorMessage="1" sqref="B13 B24 B35 B45" xr:uid="{E22516E2-5362-994F-9DD0-B4F33306A20E}">
      <formula1>"Frage,Satz"</formula1>
    </dataValidation>
    <dataValidation type="decimal" allowBlank="1" showInputMessage="1" showErrorMessage="1" errorTitle="Achtung" error="Hier bitte eintragen ab welchen Wert eine Dimension als erfüllt gilt._x000a_Wert zwischen 0 und 9 eintragen." promptTitle="Schwellenwert Toleranz" prompt="Hier bitte eintragen ab welchen Wert eine Dimension als erfüllt gilt._x000a_Prozentwert eingeben." sqref="F5:F9" xr:uid="{05A76D51-AE94-1C40-88FC-324C684C842B}">
      <formula1>0</formula1>
      <formula2>9</formula2>
    </dataValidation>
    <dataValidation type="decimal" allowBlank="1" showInputMessage="1" showErrorMessage="1" errorTitle="Achtung" error="Wieviel Prozent der relevanten Fragen sollten beantwortet werden. Bitte einen Prozentwert zwischen 0 und 100 eingeben." promptTitle="Schwellenwert Zuversicht" prompt="Wieviel Prozent der relevanten Fragen sollten beantwortet werden um eine aussagekräftige Berwertung zu erhalten. Bitte einen Prozentwert zwischen 0 und 100 eingeben." sqref="G5:G9" xr:uid="{D8304C6D-6337-3C46-A741-AFB8D75397C0}">
      <formula1>0</formula1>
      <formula2>1</formula2>
    </dataValidation>
    <dataValidation allowBlank="1" showErrorMessage="1" sqref="M6:P7 I4:I9 J10:P10 L8:P9 J3:P5 K4:K9" xr:uid="{9CB2F165-6A0A-D646-BC2E-A5E965EC0E9B}"/>
  </dataValidations>
  <pageMargins left="0.7" right="0.7" top="0.78740157499999996" bottom="0.78740157499999996" header="0.3" footer="0.3"/>
  <pageSetup paperSize="9" orientation="portrait" r:id="rId1"/>
  <ignoredErrors>
    <ignoredError sqref="C14 C15:C20 C26 C27:C31 C47:C51 C37:C41" formula="1"/>
  </ignoredErrors>
  <drawing r:id="rId2"/>
  <extLst>
    <ext xmlns:x14="http://schemas.microsoft.com/office/spreadsheetml/2009/9/main" uri="{78C0D931-6437-407d-A8EE-F0AAD7539E65}">
      <x14:conditionalFormattings>
        <x14:conditionalFormatting xmlns:xm="http://schemas.microsoft.com/office/excel/2006/main">
          <x14:cfRule type="iconSet" priority="173" id="{21DA533D-343A-9747-9251-D892ACAA9068}">
            <x14:iconSet iconSet="3Symbols2" custom="1">
              <x14:cfvo type="percent">
                <xm:f>0</xm:f>
              </x14:cfvo>
              <x14:cfvo type="num">
                <xm:f>0</xm:f>
              </x14:cfvo>
              <x14:cfvo type="num">
                <xm:f>$F$21</xm:f>
              </x14:cfvo>
              <x14:cfIcon iconSet="NoIcons" iconId="0"/>
              <x14:cfIcon iconSet="3Symbols2" iconId="2"/>
              <x14:cfIcon iconSet="3Symbols2" iconId="1"/>
            </x14:iconSet>
          </x14:cfRule>
          <xm:sqref>F5</xm:sqref>
        </x14:conditionalFormatting>
        <x14:conditionalFormatting xmlns:xm="http://schemas.microsoft.com/office/excel/2006/main">
          <x14:cfRule type="iconSet" priority="170" id="{7815548B-EF8F-1642-B240-B5733DAC3005}">
            <x14:iconSet iconSet="3Symbols2" custom="1">
              <x14:cfvo type="percent">
                <xm:f>0</xm:f>
              </x14:cfvo>
              <x14:cfvo type="num">
                <xm:f>0</xm:f>
              </x14:cfvo>
              <x14:cfvo type="num" gte="0">
                <xm:f>$F$32</xm:f>
              </x14:cfvo>
              <x14:cfIcon iconSet="NoIcons" iconId="0"/>
              <x14:cfIcon iconSet="3Symbols2" iconId="2"/>
              <x14:cfIcon iconSet="3Symbols2" iconId="1"/>
            </x14:iconSet>
          </x14:cfRule>
          <xm:sqref>F6</xm:sqref>
        </x14:conditionalFormatting>
        <x14:conditionalFormatting xmlns:xm="http://schemas.microsoft.com/office/excel/2006/main">
          <x14:cfRule type="iconSet" priority="171" id="{DF6FB944-7722-284E-8A47-8FD747B1E94E}">
            <x14:iconSet iconSet="3Symbols2" custom="1">
              <x14:cfvo type="percent">
                <xm:f>0</xm:f>
              </x14:cfvo>
              <x14:cfvo type="num">
                <xm:f>0</xm:f>
              </x14:cfvo>
              <x14:cfvo type="num" gte="0">
                <xm:f>$F$42</xm:f>
              </x14:cfvo>
              <x14:cfIcon iconSet="NoIcons" iconId="0"/>
              <x14:cfIcon iconSet="3Symbols2" iconId="2"/>
              <x14:cfIcon iconSet="3Symbols2" iconId="1"/>
            </x14:iconSet>
          </x14:cfRule>
          <xm:sqref>F7</xm:sqref>
        </x14:conditionalFormatting>
        <x14:conditionalFormatting xmlns:xm="http://schemas.microsoft.com/office/excel/2006/main">
          <x14:cfRule type="iconSet" priority="172" id="{F029CC12-C1CB-F14B-AAB1-8AE2842DAAF3}">
            <x14:iconSet custom="1">
              <x14:cfvo type="percent">
                <xm:f>0</xm:f>
              </x14:cfvo>
              <x14:cfvo type="num">
                <xm:f>0</xm:f>
              </x14:cfvo>
              <x14:cfvo type="num" gte="0">
                <xm:f>$F$52</xm:f>
              </x14:cfvo>
              <x14:cfIcon iconSet="NoIcons" iconId="0"/>
              <x14:cfIcon iconSet="3Symbols2" iconId="2"/>
              <x14:cfIcon iconSet="3Symbols2" iconId="1"/>
            </x14:iconSet>
          </x14:cfRule>
          <xm:sqref>F8</xm:sqref>
        </x14:conditionalFormatting>
        <x14:conditionalFormatting xmlns:xm="http://schemas.microsoft.com/office/excel/2006/main">
          <x14:cfRule type="iconSet" priority="164" id="{25ACF234-AF0D-2842-9FEF-CA4864255D4B}">
            <x14:iconSet iconSet="3Symbols2" custom="1">
              <x14:cfvo type="percent">
                <xm:f>0</xm:f>
              </x14:cfvo>
              <x14:cfvo type="num">
                <xm:f>0</xm:f>
              </x14:cfvo>
              <x14:cfvo type="num" gte="0">
                <xm:f>$I$9</xm:f>
              </x14:cfvo>
              <x14:cfIcon iconSet="NoIcons" iconId="0"/>
              <x14:cfIcon iconSet="3Symbols2" iconId="2"/>
              <x14:cfIcon iconSet="3Symbols2" iconId="1"/>
            </x14:iconSet>
          </x14:cfRule>
          <xm:sqref>F9</xm:sqref>
        </x14:conditionalFormatting>
        <x14:conditionalFormatting xmlns:xm="http://schemas.microsoft.com/office/excel/2006/main">
          <x14:cfRule type="iconSet" priority="177" id="{FD19BA95-83FB-E540-8B7D-68867376B5BD}">
            <x14:iconSet iconSet="3Symbols2" custom="1">
              <x14:cfvo type="percent">
                <xm:f>0</xm:f>
              </x14:cfvo>
              <x14:cfvo type="num">
                <xm:f>0</xm:f>
              </x14:cfvo>
              <x14:cfvo type="num">
                <xm:f>$F$21</xm:f>
              </x14:cfvo>
              <x14:cfIcon iconSet="NoIcons" iconId="0"/>
              <x14:cfIcon iconSet="3Symbols2" iconId="2"/>
              <x14:cfIcon iconSet="3Symbols2" iconId="1"/>
            </x14:iconSet>
          </x14:cfRule>
          <xm:sqref>I5</xm:sqref>
        </x14:conditionalFormatting>
        <x14:conditionalFormatting xmlns:xm="http://schemas.microsoft.com/office/excel/2006/main">
          <x14:cfRule type="iconSet" priority="174" id="{A25D2A69-BEAA-B947-92A6-67553959135C}">
            <x14:iconSet iconSet="3Symbols2" custom="1">
              <x14:cfvo type="percent">
                <xm:f>0</xm:f>
              </x14:cfvo>
              <x14:cfvo type="num">
                <xm:f>0</xm:f>
              </x14:cfvo>
              <x14:cfvo type="num" gte="0">
                <xm:f>$F$32</xm:f>
              </x14:cfvo>
              <x14:cfIcon iconSet="NoIcons" iconId="0"/>
              <x14:cfIcon iconSet="3Symbols2" iconId="2"/>
              <x14:cfIcon iconSet="3Symbols2" iconId="1"/>
            </x14:iconSet>
          </x14:cfRule>
          <xm:sqref>I6</xm:sqref>
        </x14:conditionalFormatting>
        <x14:conditionalFormatting xmlns:xm="http://schemas.microsoft.com/office/excel/2006/main">
          <x14:cfRule type="iconSet" priority="175" id="{0A291728-AB0C-F349-B2FB-1BFFACF6CA2A}">
            <x14:iconSet iconSet="3Symbols2" custom="1">
              <x14:cfvo type="percent">
                <xm:f>0</xm:f>
              </x14:cfvo>
              <x14:cfvo type="num">
                <xm:f>0</xm:f>
              </x14:cfvo>
              <x14:cfvo type="num" gte="0">
                <xm:f>$F$42</xm:f>
              </x14:cfvo>
              <x14:cfIcon iconSet="NoIcons" iconId="0"/>
              <x14:cfIcon iconSet="3Symbols2" iconId="2"/>
              <x14:cfIcon iconSet="3Symbols2" iconId="1"/>
            </x14:iconSet>
          </x14:cfRule>
          <xm:sqref>I7</xm:sqref>
        </x14:conditionalFormatting>
        <x14:conditionalFormatting xmlns:xm="http://schemas.microsoft.com/office/excel/2006/main">
          <x14:cfRule type="iconSet" priority="176" id="{1C8F9FF7-14B1-F544-B1C7-103A6AFA0F2A}">
            <x14:iconSet custom="1">
              <x14:cfvo type="percent">
                <xm:f>0</xm:f>
              </x14:cfvo>
              <x14:cfvo type="num">
                <xm:f>0</xm:f>
              </x14:cfvo>
              <x14:cfvo type="num" gte="0">
                <xm:f>$F$52</xm:f>
              </x14:cfvo>
              <x14:cfIcon iconSet="NoIcons" iconId="0"/>
              <x14:cfIcon iconSet="3Symbols2" iconId="2"/>
              <x14:cfIcon iconSet="3Symbols2" iconId="1"/>
            </x14:iconSet>
          </x14:cfRule>
          <xm:sqref>I8</xm:sqref>
        </x14:conditionalFormatting>
        <x14:conditionalFormatting xmlns:xm="http://schemas.microsoft.com/office/excel/2006/main">
          <x14:cfRule type="iconSet" priority="5" id="{1CEA544C-5342-074D-A15E-F8F7D395E145}">
            <x14:iconSet iconSet="3Symbols2" custom="1">
              <x14:cfvo type="percent">
                <xm:f>0</xm:f>
              </x14:cfvo>
              <x14:cfvo type="num">
                <xm:f>0</xm:f>
              </x14:cfvo>
              <x14:cfvo type="num" gte="0">
                <xm:f>$I$9</xm:f>
              </x14:cfvo>
              <x14:cfIcon iconSet="NoIcons" iconId="0"/>
              <x14:cfIcon iconSet="3Symbols2" iconId="2"/>
              <x14:cfIcon iconSet="3Symbols2" iconId="1"/>
            </x14:iconSet>
          </x14:cfRule>
          <xm:sqref>I9</xm:sqref>
        </x14:conditionalFormatting>
        <x14:conditionalFormatting xmlns:xm="http://schemas.microsoft.com/office/excel/2006/main">
          <x14:cfRule type="iconSet" priority="178" id="{00000000-000E-0000-0000-000003000000}">
            <x14:iconSet iconSet="3Symbols2" custom="1">
              <x14:cfvo type="percent">
                <xm:f>0</xm:f>
              </x14:cfvo>
              <x14:cfvo type="num">
                <xm:f>0</xm:f>
              </x14:cfvo>
              <x14:cfvo type="num" gte="0">
                <xm:f>$G$42</xm:f>
              </x14:cfvo>
              <x14:cfIcon iconSet="NoIcons" iconId="0"/>
              <x14:cfIcon iconSet="3Symbols2" iconId="2"/>
              <x14:cfIcon iconSet="3Symbols2" iconId="1"/>
            </x14:iconSet>
          </x14:cfRule>
          <xm:sqref>K6 M6:P6 G7</xm:sqref>
        </x14:conditionalFormatting>
        <x14:conditionalFormatting xmlns:xm="http://schemas.microsoft.com/office/excel/2006/main">
          <x14:cfRule type="iconSet" priority="181" id="{00000000-000E-0000-0000-000001000000}">
            <x14:iconSet iconSet="3Symbols2" custom="1">
              <x14:cfvo type="percent">
                <xm:f>0</xm:f>
              </x14:cfvo>
              <x14:cfvo type="num">
                <xm:f>0</xm:f>
              </x14:cfvo>
              <x14:cfvo type="num" gte="0">
                <xm:f>$G$52</xm:f>
              </x14:cfvo>
              <x14:cfIcon iconSet="NoIcons" iconId="0"/>
              <x14:cfIcon iconSet="3Symbols2" iconId="2"/>
              <x14:cfIcon iconSet="3Symbols2" iconId="1"/>
            </x14:iconSet>
          </x14:cfRule>
          <xm:sqref>K7 M7:P7 G8</xm:sqref>
        </x14:conditionalFormatting>
        <x14:conditionalFormatting xmlns:xm="http://schemas.microsoft.com/office/excel/2006/main">
          <x14:cfRule type="iconSet" priority="169" id="{00000000-000E-0000-0000-000002000000}">
            <x14:iconSet iconSet="3Symbols2" custom="1">
              <x14:cfvo type="percent">
                <xm:f>0</xm:f>
              </x14:cfvo>
              <x14:cfvo type="num">
                <xm:f>0</xm:f>
              </x14:cfvo>
              <x14:cfvo type="num" gte="0">
                <xm:f>$J$5</xm:f>
              </x14:cfvo>
              <x14:cfIcon iconSet="NoIcons" iconId="0"/>
              <x14:cfIcon iconSet="3Symbols2" iconId="2"/>
              <x14:cfIcon iconSet="3Symbols2" iconId="1"/>
            </x14:iconSet>
          </x14:cfRule>
          <xm:sqref>K8:P8 G9</xm:sqref>
        </x14:conditionalFormatting>
        <x14:conditionalFormatting xmlns:xm="http://schemas.microsoft.com/office/excel/2006/main">
          <x14:cfRule type="iconSet" priority="186" id="{00000000-000E-0000-0000-000006000000}">
            <x14:iconSet iconSet="3Symbols2" custom="1">
              <x14:cfvo type="percent">
                <xm:f>0</xm:f>
              </x14:cfvo>
              <x14:cfvo type="num">
                <xm:f>0</xm:f>
              </x14:cfvo>
              <x14:cfvo type="num" gte="0">
                <xm:f>$G$21</xm:f>
              </x14:cfvo>
              <x14:cfIcon iconSet="NoIcons" iconId="0"/>
              <x14:cfIcon iconSet="3Symbols2" iconId="2"/>
              <x14:cfIcon iconSet="3Symbols2" iconId="1"/>
            </x14:iconSet>
          </x14:cfRule>
          <xm:sqref>L4:P4 G5</xm:sqref>
        </x14:conditionalFormatting>
        <x14:conditionalFormatting xmlns:xm="http://schemas.microsoft.com/office/excel/2006/main">
          <x14:cfRule type="iconSet" priority="184" id="{00000000-000E-0000-0000-000004000000}">
            <x14:iconSet iconSet="3Symbols2" custom="1">
              <x14:cfvo type="percent">
                <xm:f>0</xm:f>
              </x14:cfvo>
              <x14:cfvo type="num">
                <xm:f>0</xm:f>
              </x14:cfvo>
              <x14:cfvo type="num" gte="0">
                <xm:f>$G$32</xm:f>
              </x14:cfvo>
              <x14:cfIcon iconSet="NoIcons" iconId="0"/>
              <x14:cfIcon iconSet="3Symbols2" iconId="2"/>
              <x14:cfIcon iconSet="3Symbols2" iconId="1"/>
            </x14:iconSet>
          </x14:cfRule>
          <xm:sqref>L5:P5 G6</xm:sqref>
        </x14:conditionalFormatting>
      </x14:conditionalFormattings>
    </ext>
    <ext xmlns:x14="http://schemas.microsoft.com/office/spreadsheetml/2009/9/main" uri="{CCE6A557-97BC-4b89-ADB6-D9C93CAAB3DF}">
      <x14:dataValidations xmlns:xm="http://schemas.microsoft.com/office/excel/2006/main" xWindow="1305" yWindow="766" count="3">
        <x14:dataValidation type="list" allowBlank="1" showInputMessage="1" showErrorMessage="1" prompt="Bitte die passende Antwort auswählen:_x000a__x000a_nein: trifft nicht zu_x000a_dazwischen: trifft nur teilweise zu_x000a_ja: trifft vollständig zu_x000a_nicht relevant: Frage für die aktuelle Software nicht benötigt_x000a_keine Antwort möglich: noch nicht genug Informationen für eine Beantw" xr:uid="{E8E5AE93-BF62-0D4F-BD4C-8B0E90B19DEF}">
          <x14:formula1>
            <xm:f>LookupTabellen!$A$3:$A$7</xm:f>
          </x14:formula1>
          <xm:sqref>F14:F20 F25:F31 F36:F41 F46:F51</xm:sqref>
        </x14:dataValidation>
        <x14:dataValidation type="list" allowBlank="1" showInputMessage="1" showErrorMessage="1" promptTitle="Zuversicht" prompt="Wie sicher sind sie sich mit der Antwort zu der aktuellen Frage. " xr:uid="{C7006D43-1352-F049-9E0F-7B12E6D65192}">
          <x14:formula1>
            <xm:f>LookupTabellen!$D$3:$D$5</xm:f>
          </x14:formula1>
          <xm:sqref>G14:G20 G25:G31 G36:G41 G46:G51</xm:sqref>
        </x14:dataValidation>
        <x14:dataValidation type="list" allowBlank="1" showInputMessage="1" showErrorMessage="1" promptTitle="Kritische Frage" prompt="Handelt es sich um eine kritische Frage, welche bei der Auswertung gesondert hervorgehoben wird, sollte es hier Hindernisse geben?" xr:uid="{FFD84D34-6E7F-C64B-A942-558D2A766896}">
          <x14:formula1>
            <xm:f>LookupTabellen!$H$2:$H$3</xm:f>
          </x14:formula1>
          <xm:sqref>H14:H20 H25:H31 H36:H41 H46:H51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4CBFB-C184-664A-ADA1-55AFDD8B1C74}">
  <dimension ref="A1:X53"/>
  <sheetViews>
    <sheetView view="pageLayout" zoomScale="130" zoomScaleNormal="100" zoomScalePageLayoutView="130" workbookViewId="0">
      <selection activeCell="L3" sqref="L3:O7"/>
    </sheetView>
  </sheetViews>
  <sheetFormatPr baseColWidth="10" defaultRowHeight="15" customHeight="1" x14ac:dyDescent="0.2"/>
  <cols>
    <col min="1" max="1" width="11.5" customWidth="1"/>
    <col min="2" max="2" width="3.1640625" customWidth="1"/>
    <col min="3" max="3" width="8.1640625" customWidth="1"/>
    <col min="4" max="4" width="9.33203125" customWidth="1"/>
    <col min="5" max="5" width="4.6640625" hidden="1" customWidth="1"/>
    <col min="6" max="6" width="9.33203125" customWidth="1"/>
    <col min="7" max="7" width="11.6640625" customWidth="1"/>
    <col min="8" max="9" width="10.1640625" customWidth="1"/>
    <col min="10" max="10" width="8.83203125" customWidth="1"/>
    <col min="11" max="11" width="12.1640625" style="47" hidden="1" customWidth="1"/>
    <col min="12" max="12" width="17.1640625" customWidth="1"/>
    <col min="13" max="13" width="22" customWidth="1"/>
    <col min="14" max="14" width="9.83203125" customWidth="1"/>
    <col min="15" max="15" width="32.33203125" customWidth="1"/>
    <col min="16" max="17" width="16.5" customWidth="1"/>
  </cols>
  <sheetData>
    <row r="1" spans="1:24" ht="15" customHeight="1" thickBot="1" x14ac:dyDescent="0.25">
      <c r="A1" s="29" t="s">
        <v>146</v>
      </c>
      <c r="B1" s="141" t="str">
        <f>IF(Bewertungsbogen!C5="","",Bewertungsbogen!C5)</f>
        <v/>
      </c>
      <c r="C1" s="142"/>
      <c r="D1" s="143"/>
      <c r="E1" s="144" t="s">
        <v>201</v>
      </c>
      <c r="F1" s="145"/>
      <c r="G1" s="141" t="str">
        <f>IF(Bewertungsbogen!C4="","",Bewertungsbogen!C4)</f>
        <v/>
      </c>
      <c r="H1" s="142"/>
      <c r="I1" s="142"/>
      <c r="J1" s="143"/>
      <c r="K1" s="146" t="s">
        <v>146</v>
      </c>
      <c r="L1" s="146"/>
      <c r="M1" s="95" t="str">
        <f>B1</f>
        <v/>
      </c>
      <c r="N1" s="46" t="s">
        <v>201</v>
      </c>
      <c r="O1" s="95" t="str">
        <f>G1</f>
        <v/>
      </c>
      <c r="P1" s="30"/>
      <c r="Q1" s="94"/>
      <c r="R1" s="94"/>
      <c r="S1" s="94"/>
      <c r="T1" s="94"/>
      <c r="U1" s="1"/>
      <c r="V1" s="1"/>
      <c r="W1" s="1"/>
    </row>
    <row r="2" spans="1:24" ht="15" customHeight="1" x14ac:dyDescent="0.2">
      <c r="A2" s="167" t="s">
        <v>489</v>
      </c>
      <c r="B2" s="168"/>
      <c r="C2" s="168"/>
      <c r="D2" s="169"/>
      <c r="F2" s="235" t="s">
        <v>119</v>
      </c>
      <c r="G2" s="236"/>
      <c r="H2" s="236"/>
      <c r="I2" s="236"/>
      <c r="J2" s="237"/>
      <c r="K2" s="47" t="str">
        <f>VLOOKUP(16-(C20&gt;D45)*8-(C21&gt;D46)*4-(C22&gt;D47)*2-(C23&gt;D48),Szenarien!A3:I19,9,FALSE)</f>
        <v>Projekt fallen lassen (15)</v>
      </c>
      <c r="L2" s="156" t="s">
        <v>486</v>
      </c>
      <c r="M2" s="156"/>
      <c r="N2" s="156"/>
      <c r="O2" s="156"/>
      <c r="P2" s="1"/>
      <c r="Q2" s="1"/>
      <c r="R2" s="1"/>
      <c r="S2" s="1"/>
      <c r="T2" s="1"/>
      <c r="U2" s="1"/>
      <c r="V2" s="1"/>
      <c r="W2" s="1"/>
    </row>
    <row r="3" spans="1:24" ht="15" customHeight="1" x14ac:dyDescent="0.2">
      <c r="A3" s="161" t="str">
        <f>IF(Bewertungsbogen!C6="","",Bewertungsbogen!C6)</f>
        <v/>
      </c>
      <c r="B3" s="162"/>
      <c r="C3" s="162"/>
      <c r="D3" s="163"/>
      <c r="F3" s="157" t="str">
        <f>_xlfn.CONCAT("Offene Fragen:",CHAR(10),_xlfn.TEXTJOIN(CHAR(10),TRUE,Bewertungsbogen!P14:P20),CHAR(10),CHAR(10),"Hindernisse:",CHAR(10),_xlfn.TEXTJOIN(CHAR(10),TRUE,Bewertungsbogen!O14:O20))</f>
        <v xml:space="preserve">Offene Fragen:
Handelt es sich bei der Software um eine neue, nicht offensichtliche Erfindung?
Ist die Software in Verwendung?
Ist die Verwertung und/oder Entwicklung der Software machbar?
Ist die Software ausreichend dokumentiert?
Können alle externen Ressourcen wie gewünscht verwendet werden?
Kann die Software ohne spezielle Zulassungen verwertet werden?
Kann die Software für Umwelt, Mensch und/oder Gesellschaft unbedenklich verwendet werden?
Hindernisse:
</v>
      </c>
      <c r="G3" s="157"/>
      <c r="H3" s="157"/>
      <c r="I3" s="157"/>
      <c r="J3" s="157"/>
      <c r="K3" s="26"/>
      <c r="L3" s="158" t="str">
        <f>VLOOKUP(16-(C20&gt;D45)*8-(C21&gt;D46)*4-(C22&gt;D47)*2-(C23&gt;D48),Szenarien!A3:I19,9,FALSE)</f>
        <v>Projekt fallen lassen (15)</v>
      </c>
      <c r="M3" s="158"/>
      <c r="N3" s="158"/>
      <c r="O3" s="158"/>
      <c r="T3" s="1"/>
      <c r="U3" s="1"/>
      <c r="V3" s="1"/>
      <c r="W3" s="1"/>
    </row>
    <row r="4" spans="1:24" ht="15" customHeight="1" x14ac:dyDescent="0.2">
      <c r="A4" s="161"/>
      <c r="B4" s="162"/>
      <c r="C4" s="162"/>
      <c r="D4" s="163"/>
      <c r="F4" s="157"/>
      <c r="G4" s="157"/>
      <c r="H4" s="157"/>
      <c r="I4" s="157"/>
      <c r="J4" s="157"/>
      <c r="L4" s="158"/>
      <c r="M4" s="158"/>
      <c r="N4" s="158"/>
      <c r="O4" s="158"/>
      <c r="T4" s="1"/>
      <c r="U4" s="1"/>
      <c r="V4" s="1"/>
      <c r="W4" s="1"/>
    </row>
    <row r="5" spans="1:24" ht="15" customHeight="1" x14ac:dyDescent="0.2">
      <c r="A5" s="161"/>
      <c r="B5" s="162"/>
      <c r="C5" s="162"/>
      <c r="D5" s="163"/>
      <c r="F5" s="157"/>
      <c r="G5" s="157"/>
      <c r="H5" s="157"/>
      <c r="I5" s="157"/>
      <c r="J5" s="157"/>
      <c r="L5" s="158"/>
      <c r="M5" s="158"/>
      <c r="N5" s="158"/>
      <c r="O5" s="158"/>
      <c r="T5" s="1"/>
      <c r="U5" s="1"/>
      <c r="V5" s="1"/>
      <c r="W5" s="1"/>
    </row>
    <row r="6" spans="1:24" ht="15" customHeight="1" x14ac:dyDescent="0.2">
      <c r="A6" s="161"/>
      <c r="B6" s="162"/>
      <c r="C6" s="162"/>
      <c r="D6" s="163"/>
      <c r="F6" s="157"/>
      <c r="G6" s="157"/>
      <c r="H6" s="157"/>
      <c r="I6" s="157"/>
      <c r="J6" s="157"/>
      <c r="L6" s="158"/>
      <c r="M6" s="158"/>
      <c r="N6" s="158"/>
      <c r="O6" s="158"/>
      <c r="T6" s="1"/>
      <c r="U6" s="1"/>
      <c r="V6" s="1"/>
      <c r="W6" s="1"/>
    </row>
    <row r="7" spans="1:24" ht="15" customHeight="1" x14ac:dyDescent="0.2">
      <c r="A7" s="161"/>
      <c r="B7" s="162"/>
      <c r="C7" s="162"/>
      <c r="D7" s="163"/>
      <c r="F7" s="157"/>
      <c r="G7" s="157"/>
      <c r="H7" s="157"/>
      <c r="I7" s="157"/>
      <c r="J7" s="157"/>
      <c r="L7" s="158"/>
      <c r="M7" s="158"/>
      <c r="N7" s="158"/>
      <c r="O7" s="158"/>
      <c r="T7" s="1"/>
      <c r="U7" s="1"/>
      <c r="V7" s="1"/>
      <c r="W7" s="1"/>
    </row>
    <row r="8" spans="1:24" ht="15" customHeight="1" x14ac:dyDescent="0.2">
      <c r="A8" s="161"/>
      <c r="B8" s="162"/>
      <c r="C8" s="162"/>
      <c r="D8" s="163"/>
      <c r="F8" s="157"/>
      <c r="G8" s="157"/>
      <c r="H8" s="157"/>
      <c r="I8" s="157"/>
      <c r="J8" s="157"/>
      <c r="K8" s="26">
        <f>IFERROR(FIND("(",VLOOKUP(16-(C20&gt;D45)*8-(C21&gt;D46)*4-(C22&gt;D47)*2-(C23&gt;D48),Szenarien!A3:I19,9,FALSE))+1,"")</f>
        <v>24</v>
      </c>
      <c r="L8" s="134" t="str">
        <f>IFERROR(VLOOKUP(INT(MID($K$2,K8,FIND(")",$K$2,K8)-K8)),Handlungsempfehlungen!$A$2:$C$17,2,FALSE),"")</f>
        <v>Projekt fallen lassen</v>
      </c>
      <c r="M8" s="135" t="str">
        <f>IFERROR(VLOOKUP(INT(MID($K$2,K8,FIND(")",$K$2,K8)-K8)),Handlungsempfehlungen!$A$2:$C$17,3,FALSE),"")</f>
        <v>Die Bewertung ein letztes mal prüfen ob die Software wirklich so viele Defizite hinsichtlich einer Verwertung hat. Wenn alles stimmt sollte die Software fallen gelassen werden.</v>
      </c>
      <c r="N8" s="135"/>
      <c r="O8" s="135"/>
      <c r="T8" s="1"/>
      <c r="U8" s="1"/>
      <c r="V8" s="1"/>
      <c r="W8" s="1"/>
    </row>
    <row r="9" spans="1:24" ht="15" customHeight="1" x14ac:dyDescent="0.2">
      <c r="A9" s="161"/>
      <c r="B9" s="162"/>
      <c r="C9" s="162"/>
      <c r="D9" s="163"/>
      <c r="F9" s="157"/>
      <c r="G9" s="157"/>
      <c r="H9" s="157"/>
      <c r="I9" s="157"/>
      <c r="J9" s="157"/>
      <c r="L9" s="134"/>
      <c r="M9" s="135"/>
      <c r="N9" s="135"/>
      <c r="O9" s="135"/>
      <c r="T9" s="1"/>
      <c r="U9" s="1"/>
      <c r="V9" s="1"/>
      <c r="W9" s="1"/>
    </row>
    <row r="10" spans="1:24" ht="15" customHeight="1" x14ac:dyDescent="0.2">
      <c r="A10" s="161"/>
      <c r="B10" s="162"/>
      <c r="C10" s="162"/>
      <c r="D10" s="163"/>
      <c r="F10" s="157"/>
      <c r="G10" s="157"/>
      <c r="H10" s="157"/>
      <c r="I10" s="157"/>
      <c r="J10" s="157"/>
      <c r="L10" s="134"/>
      <c r="M10" s="135"/>
      <c r="N10" s="135"/>
      <c r="O10" s="135"/>
    </row>
    <row r="11" spans="1:24" ht="15" customHeight="1" x14ac:dyDescent="0.2">
      <c r="A11" s="161"/>
      <c r="B11" s="162"/>
      <c r="C11" s="162"/>
      <c r="D11" s="163"/>
      <c r="E11" s="26" t="str">
        <f>IFERROR(FIND("(",$A$33,K8)+1,"")</f>
        <v/>
      </c>
      <c r="F11" s="157"/>
      <c r="G11" s="157"/>
      <c r="H11" s="157"/>
      <c r="I11" s="157"/>
      <c r="J11" s="157"/>
      <c r="L11" s="134"/>
      <c r="M11" s="135"/>
      <c r="N11" s="135"/>
      <c r="O11" s="135"/>
    </row>
    <row r="12" spans="1:24" ht="15" customHeight="1" thickBot="1" x14ac:dyDescent="0.25">
      <c r="A12" s="164"/>
      <c r="B12" s="165"/>
      <c r="C12" s="165"/>
      <c r="D12" s="166"/>
      <c r="E12" s="26" t="str">
        <f>IFERROR(FIND("(",$A$33,E11)+1,"")</f>
        <v/>
      </c>
      <c r="F12" s="157"/>
      <c r="G12" s="157"/>
      <c r="H12" s="157"/>
      <c r="I12" s="157"/>
      <c r="J12" s="157"/>
      <c r="L12" s="134"/>
      <c r="M12" s="135"/>
      <c r="N12" s="135"/>
      <c r="O12" s="135"/>
    </row>
    <row r="13" spans="1:24" ht="15" customHeight="1" x14ac:dyDescent="0.2">
      <c r="A13" s="149" t="s">
        <v>118</v>
      </c>
      <c r="B13" s="150"/>
      <c r="C13" s="153" t="s">
        <v>195</v>
      </c>
      <c r="D13" s="147" t="s">
        <v>192</v>
      </c>
      <c r="E13" s="36"/>
      <c r="F13" s="157"/>
      <c r="G13" s="157"/>
      <c r="H13" s="157"/>
      <c r="I13" s="157"/>
      <c r="J13" s="157"/>
      <c r="K13" s="26" t="str">
        <f>IFERROR(FIND("(",VLOOKUP(16-(C20&gt;D45)*8-(C21&gt;D46)*4-(C22&gt;D47)*2-(C23&gt;D48),Szenarien!A3:I19,9,FALSE),K8)+1,"")</f>
        <v/>
      </c>
      <c r="L13" s="134" t="str">
        <f>IFERROR(VLOOKUP(INT(MID($K$2,K13,FIND(")",$K$2,K13)-K13)),Handlungsempfehlungen!$A$2:$C$17,2,FALSE),"")</f>
        <v/>
      </c>
      <c r="M13" s="135" t="str">
        <f>IFERROR(VLOOKUP(INT(MID($K$2,K13,FIND(")",$K$2,K13)-K13)),Handlungsempfehlungen!$A$2:$C$17,3,FALSE),"")</f>
        <v/>
      </c>
      <c r="N13" s="135"/>
      <c r="O13" s="135"/>
    </row>
    <row r="14" spans="1:24" ht="15" customHeight="1" thickBot="1" x14ac:dyDescent="0.25">
      <c r="A14" s="149"/>
      <c r="B14" s="150"/>
      <c r="C14" s="154"/>
      <c r="D14" s="147"/>
      <c r="E14" s="27"/>
      <c r="F14" s="157"/>
      <c r="G14" s="157"/>
      <c r="H14" s="157"/>
      <c r="I14" s="157"/>
      <c r="J14" s="157"/>
      <c r="L14" s="134"/>
      <c r="M14" s="135"/>
      <c r="N14" s="135"/>
      <c r="O14" s="135"/>
    </row>
    <row r="15" spans="1:24" ht="15" customHeight="1" x14ac:dyDescent="0.2">
      <c r="A15" s="149"/>
      <c r="B15" s="150"/>
      <c r="C15" s="154"/>
      <c r="D15" s="147"/>
      <c r="E15" s="27"/>
      <c r="F15" s="238" t="s">
        <v>116</v>
      </c>
      <c r="G15" s="239"/>
      <c r="H15" s="239"/>
      <c r="I15" s="239"/>
      <c r="J15" s="240"/>
      <c r="L15" s="134"/>
      <c r="M15" s="135"/>
      <c r="N15" s="135"/>
      <c r="O15" s="135"/>
    </row>
    <row r="16" spans="1:24" ht="15" customHeight="1" x14ac:dyDescent="0.2">
      <c r="A16" s="149"/>
      <c r="B16" s="150"/>
      <c r="C16" s="154"/>
      <c r="D16" s="147"/>
      <c r="E16" s="27"/>
      <c r="F16" s="157" t="str">
        <f>_xlfn.CONCAT("Offene Fragen:",CHAR(10),_xlfn.TEXTJOIN(CHAR(10),TRUE,Bewertungsbogen!P25:P31),CHAR(10),CHAR(10),"Hindernisse:",CHAR(10),_xlfn.TEXTJOIN(CHAR(10),TRUE,Bewertungsbogen!O25:O31))</f>
        <v xml:space="preserve">Offene Fragen:
Ist das Entwicklerteam bereit, stark bei der Verwertung zu unterstützen?
Zeigt das Entwicklerteam Kompromissbereitschaft und hat realistische Erwartungen im Bezug auf eine angestrebte Verwertung?
Sind alle Fragen der Autorenschaft geklärt?
Ist die Autorenschaft gut dokumentiert?
Verfügt das Entwicklerteam über ausreichende Kapazitäten für die weitere Verwertung?
Verfügt das Entwicklerteam über die notwendigen Kompetenzen?
Ist das Entwicklerteam gut in die Community und Industrie eingebunden?
Hindernisse:
</v>
      </c>
      <c r="G16" s="157"/>
      <c r="H16" s="157"/>
      <c r="I16" s="157"/>
      <c r="J16" s="157"/>
      <c r="L16" s="134"/>
      <c r="M16" s="135"/>
      <c r="N16" s="135"/>
      <c r="O16" s="135"/>
      <c r="T16" s="26"/>
      <c r="U16" s="26"/>
      <c r="V16" s="26"/>
      <c r="W16" s="26"/>
      <c r="X16" s="26"/>
    </row>
    <row r="17" spans="1:15" ht="15" customHeight="1" x14ac:dyDescent="0.2">
      <c r="A17" s="149"/>
      <c r="B17" s="150"/>
      <c r="C17" s="154"/>
      <c r="D17" s="147"/>
      <c r="E17" s="27"/>
      <c r="F17" s="157"/>
      <c r="G17" s="157"/>
      <c r="H17" s="157"/>
      <c r="I17" s="157"/>
      <c r="J17" s="157"/>
      <c r="L17" s="134"/>
      <c r="M17" s="135"/>
      <c r="N17" s="135"/>
      <c r="O17" s="135"/>
    </row>
    <row r="18" spans="1:15" ht="15" customHeight="1" x14ac:dyDescent="0.2">
      <c r="A18" s="149"/>
      <c r="B18" s="150"/>
      <c r="C18" s="154"/>
      <c r="D18" s="147"/>
      <c r="E18" s="27"/>
      <c r="F18" s="157"/>
      <c r="G18" s="157"/>
      <c r="H18" s="157"/>
      <c r="I18" s="157"/>
      <c r="J18" s="157"/>
      <c r="K18" s="26" t="str">
        <f>IFERROR(FIND("(",VLOOKUP(16-(C20&gt;D45)*8-(C21&gt;D46)*4-(C22&gt;D47)*2-(C23&gt;D48),Szenarien!A3:I19,9,FALSE),K13)+1,"")</f>
        <v/>
      </c>
      <c r="L18" s="134" t="str">
        <f>IFERROR(VLOOKUP(INT(MID($K$2,K18,FIND(")",$K$2,K18)-K18)),Handlungsempfehlungen!$A$2:$C$17,2,FALSE),"")</f>
        <v/>
      </c>
      <c r="M18" s="135" t="str">
        <f>IFERROR(VLOOKUP(INT(MID($K$2,K18,FIND(")",$K$2,K18)-K18)),Handlungsempfehlungen!$A$2:$C$17,3,FALSE),"")</f>
        <v/>
      </c>
      <c r="N18" s="135"/>
      <c r="O18" s="135"/>
    </row>
    <row r="19" spans="1:15" ht="15" customHeight="1" thickBot="1" x14ac:dyDescent="0.25">
      <c r="A19" s="151"/>
      <c r="B19" s="152"/>
      <c r="C19" s="155"/>
      <c r="D19" s="148"/>
      <c r="E19" s="27"/>
      <c r="F19" s="157"/>
      <c r="G19" s="157"/>
      <c r="H19" s="157"/>
      <c r="I19" s="157"/>
      <c r="J19" s="157"/>
      <c r="L19" s="134"/>
      <c r="M19" s="135"/>
      <c r="N19" s="135"/>
      <c r="O19" s="135"/>
    </row>
    <row r="20" spans="1:15" ht="15" customHeight="1" x14ac:dyDescent="0.2">
      <c r="A20" s="225" t="s">
        <v>119</v>
      </c>
      <c r="B20" s="226"/>
      <c r="C20" s="103">
        <f>Bewertungsbogen!F21</f>
        <v>0</v>
      </c>
      <c r="D20" s="101">
        <f>Bewertungsbogen!G21</f>
        <v>0</v>
      </c>
      <c r="E20" s="27"/>
      <c r="F20" s="157"/>
      <c r="G20" s="157"/>
      <c r="H20" s="157"/>
      <c r="I20" s="157"/>
      <c r="J20" s="157"/>
      <c r="L20" s="134"/>
      <c r="M20" s="135"/>
      <c r="N20" s="135"/>
      <c r="O20" s="135"/>
    </row>
    <row r="21" spans="1:15" ht="15" customHeight="1" x14ac:dyDescent="0.2">
      <c r="A21" s="227" t="s">
        <v>116</v>
      </c>
      <c r="B21" s="228"/>
      <c r="C21" s="103">
        <f>Bewertungsbogen!F32</f>
        <v>0</v>
      </c>
      <c r="D21" s="101">
        <f>Bewertungsbogen!G32</f>
        <v>0</v>
      </c>
      <c r="E21" s="27"/>
      <c r="F21" s="157"/>
      <c r="G21" s="157"/>
      <c r="H21" s="157"/>
      <c r="I21" s="157"/>
      <c r="J21" s="157"/>
      <c r="L21" s="134"/>
      <c r="M21" s="135"/>
      <c r="N21" s="135"/>
      <c r="O21" s="135"/>
    </row>
    <row r="22" spans="1:15" ht="15" customHeight="1" x14ac:dyDescent="0.2">
      <c r="A22" s="229" t="s">
        <v>120</v>
      </c>
      <c r="B22" s="230"/>
      <c r="C22" s="103">
        <f>Bewertungsbogen!F42</f>
        <v>0</v>
      </c>
      <c r="D22" s="101">
        <f>Bewertungsbogen!G42</f>
        <v>0</v>
      </c>
      <c r="E22" s="27"/>
      <c r="F22" s="157"/>
      <c r="G22" s="157"/>
      <c r="H22" s="157"/>
      <c r="I22" s="157"/>
      <c r="J22" s="157"/>
      <c r="L22" s="134"/>
      <c r="M22" s="135"/>
      <c r="N22" s="135"/>
      <c r="O22" s="135"/>
    </row>
    <row r="23" spans="1:15" ht="15" customHeight="1" x14ac:dyDescent="0.2">
      <c r="A23" s="231" t="s">
        <v>121</v>
      </c>
      <c r="B23" s="232"/>
      <c r="C23" s="103">
        <f>Bewertungsbogen!F52</f>
        <v>0</v>
      </c>
      <c r="D23" s="101">
        <f>Bewertungsbogen!G52</f>
        <v>0</v>
      </c>
      <c r="E23" s="27"/>
      <c r="F23" s="157"/>
      <c r="G23" s="157"/>
      <c r="H23" s="157"/>
      <c r="I23" s="157"/>
      <c r="J23" s="157"/>
      <c r="K23" s="26" t="str">
        <f>IFERROR(FIND("(",VLOOKUP(16-(C20&gt;D45)*8-(C21&gt;D46)*4-(C22&gt;D47)*2-(C23&gt;D48),Szenarien!A3:I19,9,FALSE),K18)+1,"")</f>
        <v/>
      </c>
      <c r="L23" s="134" t="str">
        <f>IFERROR(VLOOKUP(INT(MID($K$2,K23,FIND(")",$K$2,K23)-K23)),Handlungsempfehlungen!$A$2:$C$17,2,FALSE),"")</f>
        <v/>
      </c>
      <c r="M23" s="135" t="str">
        <f>IFERROR(VLOOKUP(INT(MID($K$2,K23,FIND(")",$K$2,K23)-K23)),Handlungsempfehlungen!$A$2:$C$17,3,FALSE),"")</f>
        <v/>
      </c>
      <c r="N23" s="135"/>
      <c r="O23" s="135"/>
    </row>
    <row r="24" spans="1:15" ht="15" customHeight="1" thickBot="1" x14ac:dyDescent="0.25">
      <c r="A24" s="233" t="s">
        <v>470</v>
      </c>
      <c r="B24" s="234"/>
      <c r="C24" s="104">
        <f>Bewertungsbogen!I9</f>
        <v>0</v>
      </c>
      <c r="D24" s="102">
        <f>Bewertungsbogen!J5</f>
        <v>0</v>
      </c>
      <c r="E24" s="27"/>
      <c r="F24" s="157"/>
      <c r="G24" s="157"/>
      <c r="H24" s="157"/>
      <c r="I24" s="157"/>
      <c r="J24" s="157"/>
      <c r="L24" s="134"/>
      <c r="M24" s="135"/>
      <c r="N24" s="135"/>
      <c r="O24" s="135"/>
    </row>
    <row r="25" spans="1:15" ht="15" customHeight="1" x14ac:dyDescent="0.2">
      <c r="A25" s="91"/>
      <c r="B25" s="91"/>
      <c r="C25" s="91"/>
      <c r="D25" s="92"/>
      <c r="E25" s="27"/>
      <c r="F25" s="157"/>
      <c r="G25" s="157"/>
      <c r="H25" s="157"/>
      <c r="I25" s="157"/>
      <c r="J25" s="157"/>
      <c r="L25" s="134"/>
      <c r="M25" s="135"/>
      <c r="N25" s="135"/>
      <c r="O25" s="135"/>
    </row>
    <row r="26" spans="1:15" ht="15" customHeight="1" x14ac:dyDescent="0.2">
      <c r="A26" s="170" t="str">
        <f>VLOOKUP(16-(C20&gt;D45)*8-(C21&gt;D46)*4-(C22&gt;D47)*2-(C23&gt;D48),Szenarien!A3:H19,2,FALSE)</f>
        <v>Kritische Zone</v>
      </c>
      <c r="B26" s="170"/>
      <c r="C26" s="170"/>
      <c r="D26" s="171" t="str">
        <f xml:space="preserve"> IF((D20&gt;=C45)*(D21&gt;=C46)*(D22&gt;=C47)*(D23&gt;=C48)=0,"geringe Aussagekraft","")</f>
        <v>geringe Aussagekraft</v>
      </c>
      <c r="E26" s="44"/>
      <c r="F26" s="157"/>
      <c r="G26" s="157"/>
      <c r="H26" s="157"/>
      <c r="I26" s="157"/>
      <c r="J26" s="157"/>
      <c r="L26" s="134"/>
      <c r="M26" s="135"/>
      <c r="N26" s="135"/>
      <c r="O26" s="135"/>
    </row>
    <row r="27" spans="1:15" ht="15" customHeight="1" thickBot="1" x14ac:dyDescent="0.25">
      <c r="A27" s="170"/>
      <c r="B27" s="170"/>
      <c r="C27" s="170"/>
      <c r="D27" s="171"/>
      <c r="E27" s="2"/>
      <c r="F27" s="157"/>
      <c r="G27" s="157"/>
      <c r="H27" s="157"/>
      <c r="I27" s="157"/>
      <c r="J27" s="157"/>
      <c r="L27" s="134"/>
      <c r="M27" s="135"/>
      <c r="N27" s="135"/>
      <c r="O27" s="135"/>
    </row>
    <row r="28" spans="1:15" ht="15" customHeight="1" x14ac:dyDescent="0.2">
      <c r="A28" s="170"/>
      <c r="B28" s="170"/>
      <c r="C28" s="170"/>
      <c r="D28" s="171"/>
      <c r="E28" s="2"/>
      <c r="F28" s="241" t="s">
        <v>120</v>
      </c>
      <c r="G28" s="242"/>
      <c r="H28" s="242"/>
      <c r="I28" s="242"/>
      <c r="J28" s="243"/>
      <c r="K28" s="26" t="str">
        <f>IFERROR(FIND("(",VLOOKUP(16-(C20&gt;D45)*8-(C21&gt;D46)*4-(C22&gt;D47)*2-(C23&gt;D48),Szenarien!A3:I19,9,FALSE),K23)+1,"")</f>
        <v/>
      </c>
      <c r="L28" s="134" t="str">
        <f>IFERROR(VLOOKUP(INT(MID($K$2,K28,FIND(")",$K$2,K28)-K28)),Handlungsempfehlungen!$A$2:$C$17,2,FALSE),"")</f>
        <v/>
      </c>
      <c r="M28" s="135" t="str">
        <f>IFERROR(VLOOKUP(INT(MID($K$2,K28,FIND(")",$K$2,K28)-K28)),Handlungsempfehlungen!$A$2:$C$17,3,FALSE),"")</f>
        <v/>
      </c>
      <c r="N28" s="135"/>
      <c r="O28" s="135"/>
    </row>
    <row r="29" spans="1:15" ht="15" customHeight="1" x14ac:dyDescent="0.2">
      <c r="A29" s="170"/>
      <c r="B29" s="170"/>
      <c r="C29" s="170"/>
      <c r="D29" s="171"/>
      <c r="E29" s="2"/>
      <c r="F29" s="157" t="str">
        <f>_xlfn.CONCAT("Offene Fragen:",CHAR(10),_xlfn.TEXTJOIN(CHAR(10),TRUE,Bewertungsbogen!P36:P41),CHAR(10),CHAR(10),"Hindernisse:",CHAR(10),_xlfn.TEXTJOIN(CHAR(10),TRUE,Bewertungsbogen!O36:O41))</f>
        <v xml:space="preserve">Offene Fragen:
Passt eine Verwertung der Software zu der strategischen Ausrichtung und den Zielen der Einrichtung.
Passen die Vorstellung von der Einrichtung, was die Verwertung angeht, zu denen des Teams?
Liegen alle Nutzungs- und Verwertungsrechte bei der Einrichtung?
Ist eine Verwertung trotz bestehender Rahmenverträge (Auftragsforschung, FuE Projekt, Kooperationsverträgen) möglich?
Kann die Einrichtung für Verwertung und ggfs. Betrieb/Wartung/Support der Software weitere Ressourcen zur Verfügung stellen?
Wäre ein Abbruch der Entwicklung und Verwertung für die Einrichtung  tragbar?
Hindernisse:
</v>
      </c>
      <c r="G29" s="157"/>
      <c r="H29" s="157"/>
      <c r="I29" s="157"/>
      <c r="J29" s="157"/>
      <c r="L29" s="134"/>
      <c r="M29" s="135"/>
      <c r="N29" s="135"/>
      <c r="O29" s="135"/>
    </row>
    <row r="30" spans="1:15" ht="15" customHeight="1" x14ac:dyDescent="0.2">
      <c r="A30" s="170"/>
      <c r="B30" s="170"/>
      <c r="C30" s="170"/>
      <c r="D30" s="171"/>
      <c r="E30" s="2"/>
      <c r="F30" s="157"/>
      <c r="G30" s="157"/>
      <c r="H30" s="157"/>
      <c r="I30" s="157"/>
      <c r="J30" s="157"/>
      <c r="L30" s="134"/>
      <c r="M30" s="135"/>
      <c r="N30" s="135"/>
      <c r="O30" s="135"/>
    </row>
    <row r="31" spans="1:15" ht="15" customHeight="1" x14ac:dyDescent="0.2">
      <c r="A31" s="170"/>
      <c r="B31" s="170"/>
      <c r="C31" s="170"/>
      <c r="D31" s="171"/>
      <c r="E31" s="2"/>
      <c r="F31" s="157"/>
      <c r="G31" s="157"/>
      <c r="H31" s="157"/>
      <c r="I31" s="157"/>
      <c r="J31" s="157"/>
      <c r="L31" s="134"/>
      <c r="M31" s="135"/>
      <c r="N31" s="135"/>
      <c r="O31" s="135"/>
    </row>
    <row r="32" spans="1:15" ht="15" customHeight="1" x14ac:dyDescent="0.2">
      <c r="A32" s="139" t="s">
        <v>488</v>
      </c>
      <c r="B32" s="139"/>
      <c r="C32" s="139"/>
      <c r="D32" s="140"/>
      <c r="E32" s="2"/>
      <c r="F32" s="157"/>
      <c r="G32" s="157"/>
      <c r="H32" s="157"/>
      <c r="I32" s="157"/>
      <c r="J32" s="157"/>
      <c r="L32" s="134"/>
      <c r="M32" s="135"/>
      <c r="N32" s="135"/>
      <c r="O32" s="135"/>
    </row>
    <row r="33" spans="1:17" ht="15" customHeight="1" x14ac:dyDescent="0.2">
      <c r="A33" s="133" t="str">
        <f>VLOOKUP(16-(C20&gt;D45)*8-(C21&gt;D46)*4-(C22&gt;D47)*2-(C23&gt;D48),Szenarien!A3:J19,10,FALSE)</f>
        <v>Projekt fallen lassen</v>
      </c>
      <c r="B33" s="133"/>
      <c r="C33" s="133"/>
      <c r="D33" s="136"/>
      <c r="E33" s="2"/>
      <c r="F33" s="157"/>
      <c r="G33" s="157"/>
      <c r="H33" s="157"/>
      <c r="I33" s="157"/>
      <c r="J33" s="157"/>
      <c r="K33" s="26" t="str">
        <f>IFERROR(FIND("(",VLOOKUP(16-(C20&gt;D45)*8-(C21&gt;D46)*4-(C22&gt;D47)*2-(C23&gt;D48),Szenarien!A3:I19,9,FALSE),K28)+1,"")</f>
        <v/>
      </c>
      <c r="L33" s="134" t="str">
        <f>IFERROR(VLOOKUP(INT(MID($K$2,K33,FIND(")",$K$2,K33)-K33)),Handlungsempfehlungen!$A$2:$C$17,2,FALSE),"")</f>
        <v/>
      </c>
      <c r="M33" s="135" t="str">
        <f>IFERROR(VLOOKUP(INT(MID($K$2,K33,FIND(")",$K$2,K33)-K33)),Handlungsempfehlungen!$A$2:$C$17,3,FALSE),"")</f>
        <v/>
      </c>
      <c r="N33" s="135"/>
      <c r="O33" s="135"/>
    </row>
    <row r="34" spans="1:17" ht="15" customHeight="1" x14ac:dyDescent="0.2">
      <c r="A34" s="137"/>
      <c r="B34" s="137"/>
      <c r="C34" s="137"/>
      <c r="D34" s="138"/>
      <c r="E34" s="2"/>
      <c r="F34" s="157"/>
      <c r="G34" s="157"/>
      <c r="H34" s="157"/>
      <c r="I34" s="157"/>
      <c r="J34" s="157"/>
      <c r="L34" s="134"/>
      <c r="M34" s="135"/>
      <c r="N34" s="135"/>
      <c r="O34" s="135"/>
    </row>
    <row r="35" spans="1:17" ht="15" customHeight="1" x14ac:dyDescent="0.2">
      <c r="A35" s="91"/>
      <c r="B35" s="91"/>
      <c r="C35" s="91"/>
      <c r="D35" s="93"/>
      <c r="E35" s="2"/>
      <c r="F35" s="157"/>
      <c r="G35" s="157"/>
      <c r="H35" s="157"/>
      <c r="I35" s="157"/>
      <c r="J35" s="157"/>
      <c r="L35" s="134"/>
      <c r="M35" s="135"/>
      <c r="N35" s="135"/>
      <c r="O35" s="135"/>
      <c r="P35" s="1"/>
      <c r="Q35" s="1"/>
    </row>
    <row r="36" spans="1:17" ht="15" customHeight="1" x14ac:dyDescent="0.2">
      <c r="A36" s="159" t="str">
        <f>IF(C24&gt;=D49,"Software zeigt Potential für ein Startup!","")</f>
        <v/>
      </c>
      <c r="B36" s="159"/>
      <c r="C36" s="159"/>
      <c r="D36" s="160" t="str">
        <f>IF(($D$24&lt;$C$49)*($C$24&gt;=$D$49),"geringe Aussagekraft","")</f>
        <v/>
      </c>
      <c r="E36" s="2"/>
      <c r="F36" s="157"/>
      <c r="G36" s="157"/>
      <c r="H36" s="157"/>
      <c r="I36" s="157"/>
      <c r="J36" s="157"/>
      <c r="L36" s="134"/>
      <c r="M36" s="135"/>
      <c r="N36" s="135"/>
      <c r="O36" s="135"/>
      <c r="Q36" s="1"/>
    </row>
    <row r="37" spans="1:17" ht="15" customHeight="1" x14ac:dyDescent="0.2">
      <c r="A37" s="159"/>
      <c r="B37" s="159"/>
      <c r="C37" s="159"/>
      <c r="D37" s="160"/>
      <c r="E37" s="2"/>
      <c r="F37" s="157"/>
      <c r="G37" s="157"/>
      <c r="H37" s="157"/>
      <c r="I37" s="157"/>
      <c r="J37" s="157"/>
      <c r="L37" s="134"/>
      <c r="M37" s="135"/>
      <c r="N37" s="135"/>
      <c r="O37" s="135"/>
      <c r="P37" s="1"/>
      <c r="Q37" s="1"/>
    </row>
    <row r="38" spans="1:17" ht="15" customHeight="1" x14ac:dyDescent="0.2">
      <c r="A38" s="159"/>
      <c r="B38" s="159"/>
      <c r="C38" s="159"/>
      <c r="D38" s="160"/>
      <c r="E38" s="2"/>
      <c r="F38" s="157"/>
      <c r="G38" s="157"/>
      <c r="H38" s="157"/>
      <c r="I38" s="157"/>
      <c r="J38" s="157"/>
      <c r="K38" s="26" t="str">
        <f>IFERROR(FIND("(",VLOOKUP(16-(C20&gt;D45)*8-(C21&gt;D46)*4-(C22&gt;D47)*2-(C23&gt;D48),Szenarien!A3:I19,9,FALSE),K33)+1,"")</f>
        <v/>
      </c>
      <c r="L38" s="134" t="str">
        <f>IFERROR(VLOOKUP(INT(MID($K$2,K38,FIND(")",$K$2,K38)-K38)),Handlungsempfehlungen!$A$2:$C$17,2,FALSE),"")</f>
        <v/>
      </c>
      <c r="M38" s="135" t="str">
        <f>IFERROR(VLOOKUP(INT(MID($K$2,K38,FIND(")",$K$2,K38)-K38)),Handlungsempfehlungen!$A$2:$C$17,3,FALSE),"")</f>
        <v/>
      </c>
      <c r="N38" s="135"/>
      <c r="O38" s="135"/>
      <c r="Q38" s="1"/>
    </row>
    <row r="39" spans="1:17" ht="15" customHeight="1" x14ac:dyDescent="0.2">
      <c r="A39" s="159"/>
      <c r="B39" s="159"/>
      <c r="C39" s="159"/>
      <c r="D39" s="160"/>
      <c r="E39" s="44"/>
      <c r="F39" s="157"/>
      <c r="G39" s="157"/>
      <c r="H39" s="157"/>
      <c r="I39" s="157"/>
      <c r="J39" s="157"/>
      <c r="L39" s="134"/>
      <c r="M39" s="135"/>
      <c r="N39" s="135"/>
      <c r="O39" s="135"/>
      <c r="P39" s="1"/>
      <c r="Q39" s="1"/>
    </row>
    <row r="40" spans="1:17" ht="15" customHeight="1" thickBot="1" x14ac:dyDescent="0.25">
      <c r="A40" s="159"/>
      <c r="B40" s="159"/>
      <c r="C40" s="159"/>
      <c r="D40" s="160"/>
      <c r="E40" s="45"/>
      <c r="F40" s="157"/>
      <c r="G40" s="157"/>
      <c r="H40" s="157"/>
      <c r="I40" s="157"/>
      <c r="J40" s="157"/>
      <c r="L40" s="134"/>
      <c r="M40" s="135"/>
      <c r="N40" s="135"/>
      <c r="O40" s="135"/>
      <c r="Q40" s="1"/>
    </row>
    <row r="41" spans="1:17" ht="15" customHeight="1" x14ac:dyDescent="0.2">
      <c r="A41" s="45"/>
      <c r="B41" s="45"/>
      <c r="C41" s="45"/>
      <c r="D41" s="48"/>
      <c r="E41" s="45"/>
      <c r="F41" s="244" t="s">
        <v>121</v>
      </c>
      <c r="G41" s="245"/>
      <c r="H41" s="245"/>
      <c r="I41" s="245"/>
      <c r="J41" s="246"/>
      <c r="L41" s="134"/>
      <c r="M41" s="135"/>
      <c r="N41" s="135"/>
      <c r="O41" s="135"/>
      <c r="P41" s="1"/>
      <c r="Q41" s="1"/>
    </row>
    <row r="42" spans="1:17" ht="15" customHeight="1" x14ac:dyDescent="0.2">
      <c r="C42">
        <f>(D20&gt;C45)*(D21&gt;C46)*(D22&gt;C47)*(D23&gt;C48)</f>
        <v>0</v>
      </c>
      <c r="D42" s="49"/>
      <c r="E42" s="45"/>
      <c r="F42" s="157" t="str">
        <f>_xlfn.CONCAT("Offene Fragen:",CHAR(10),_xlfn.TEXTJOIN(CHAR(10),TRUE,Bewertungsbogen!P46:P51),CHAR(10),CHAR(10),"Hindernisse:",CHAR(10),_xlfn.TEXTJOIN(CHAR(10),TRUE,Bewertungsbogen!O46:O51))</f>
        <v xml:space="preserve">Offene Fragen:
Gibt es für die Software einen belastbaren und ggfs. quantifizierbaren Bedarf, oder wird sich dieser in absehbarer Zukunft entwickeln?
Bietet die Software identifizierbare und quantifizierbare Vorteile für Kunden?
Handelt es sich bei der Software um eine Kern- oder Plattformtechnologie, auf der weitere Software/Produkte aufgebaut werden können.
Gibt es keine vergleichbaren Produkte auf dem Markt?
Ist die Software durch Aufwand nicht replizierbar?
Kann mit der Verwertung der Software Gewinn erzielt werden?
Hindernisse:
</v>
      </c>
      <c r="G42" s="157"/>
      <c r="H42" s="157"/>
      <c r="I42" s="157"/>
      <c r="J42" s="157"/>
      <c r="L42" s="134"/>
      <c r="M42" s="135"/>
      <c r="N42" s="135"/>
      <c r="O42" s="135"/>
      <c r="Q42" s="1"/>
    </row>
    <row r="43" spans="1:17" ht="15" customHeight="1" x14ac:dyDescent="0.2">
      <c r="D43" s="49"/>
      <c r="E43" s="45"/>
      <c r="F43" s="157"/>
      <c r="G43" s="157"/>
      <c r="H43" s="157"/>
      <c r="I43" s="157"/>
      <c r="J43" s="157"/>
      <c r="K43" s="26" t="str">
        <f>IFERROR(FIND("(",VLOOKUP(16-(C20&gt;D45)*8-(C21&gt;D46)*4-(C22&gt;D47)*2-(C23&gt;D48),Szenarien!A3:I19,9,FALSE),K38)+1,"")</f>
        <v/>
      </c>
      <c r="L43" s="134" t="str">
        <f>IFERROR(VLOOKUP(INT(MID($K$2,K43,FIND(")",$K$2,K43)-K43)),Handlungsempfehlungen!$A$2:$C$17,2,FALSE),"")</f>
        <v/>
      </c>
      <c r="M43" s="135" t="str">
        <f>IFERROR(VLOOKUP(INT(MID($K$2,K43,FIND(")",$K$2,K43)-K43)),Handlungsempfehlungen!$A$2:$C$17,3,FALSE),"")</f>
        <v/>
      </c>
      <c r="N43" s="135"/>
      <c r="O43" s="135"/>
      <c r="P43" s="1"/>
      <c r="Q43" s="1"/>
    </row>
    <row r="44" spans="1:17" ht="15" customHeight="1" x14ac:dyDescent="0.2">
      <c r="C44" t="s">
        <v>269</v>
      </c>
      <c r="D44" s="49" t="s">
        <v>268</v>
      </c>
      <c r="E44" s="45"/>
      <c r="F44" s="157"/>
      <c r="G44" s="157"/>
      <c r="H44" s="157"/>
      <c r="I44" s="157"/>
      <c r="J44" s="157"/>
      <c r="L44" s="134"/>
      <c r="M44" s="135"/>
      <c r="N44" s="135"/>
      <c r="O44" s="135"/>
      <c r="Q44" s="1"/>
    </row>
    <row r="45" spans="1:17" ht="15" customHeight="1" x14ac:dyDescent="0.2">
      <c r="C45" s="37">
        <f>Bewertungsbogen!G5</f>
        <v>0.7</v>
      </c>
      <c r="D45" s="50">
        <f>Bewertungsbogen!F5</f>
        <v>0.6</v>
      </c>
      <c r="E45" s="45"/>
      <c r="F45" s="157"/>
      <c r="G45" s="157"/>
      <c r="H45" s="157"/>
      <c r="I45" s="157"/>
      <c r="J45" s="157"/>
      <c r="L45" s="134"/>
      <c r="M45" s="135"/>
      <c r="N45" s="135"/>
      <c r="O45" s="135"/>
      <c r="P45" s="1"/>
      <c r="Q45" s="1"/>
    </row>
    <row r="46" spans="1:17" ht="15" customHeight="1" x14ac:dyDescent="0.2">
      <c r="C46" s="37">
        <f>Bewertungsbogen!G6</f>
        <v>0.7</v>
      </c>
      <c r="D46" s="50">
        <f>Bewertungsbogen!F6</f>
        <v>0.6</v>
      </c>
      <c r="E46" s="45"/>
      <c r="F46" s="157"/>
      <c r="G46" s="157"/>
      <c r="H46" s="157"/>
      <c r="I46" s="157"/>
      <c r="J46" s="157"/>
      <c r="L46" s="134"/>
      <c r="M46" s="135"/>
      <c r="N46" s="135"/>
      <c r="O46" s="135"/>
      <c r="Q46" s="1"/>
    </row>
    <row r="47" spans="1:17" ht="15" customHeight="1" x14ac:dyDescent="0.2">
      <c r="C47" s="37">
        <f>Bewertungsbogen!G7</f>
        <v>0.7</v>
      </c>
      <c r="D47" s="50">
        <f>Bewertungsbogen!F7</f>
        <v>0.6</v>
      </c>
      <c r="E47" s="45"/>
      <c r="F47" s="157"/>
      <c r="G47" s="157"/>
      <c r="H47" s="157"/>
      <c r="I47" s="157"/>
      <c r="J47" s="157"/>
      <c r="L47" s="134"/>
      <c r="M47" s="135"/>
      <c r="N47" s="135"/>
      <c r="O47" s="135"/>
      <c r="P47" s="1"/>
      <c r="Q47" s="1"/>
    </row>
    <row r="48" spans="1:17" ht="15" customHeight="1" x14ac:dyDescent="0.2">
      <c r="C48" s="37">
        <f>Bewertungsbogen!G8</f>
        <v>0.7</v>
      </c>
      <c r="D48" s="50">
        <f>Bewertungsbogen!F8</f>
        <v>0.6</v>
      </c>
      <c r="E48" s="45"/>
      <c r="F48" s="157"/>
      <c r="G48" s="157"/>
      <c r="H48" s="157"/>
      <c r="I48" s="157"/>
      <c r="J48" s="157"/>
      <c r="K48" s="26" t="str">
        <f>IFERROR(FIND("(",VLOOKUP(16-(C20&gt;D45)*8-(C21&gt;D46)*4-(C22&gt;D47)*2-(C23&gt;D48),Szenarien!A3:I19,9,FALSE),K43)+1,"")</f>
        <v/>
      </c>
      <c r="L48" s="134" t="str">
        <f>IFERROR(VLOOKUP(INT(MID($K$2,K48,FIND(")",$K$2,K48)-K48)),Handlungsempfehlungen!$A$2:$C$17,2,FALSE),"")</f>
        <v/>
      </c>
      <c r="M48" s="135" t="str">
        <f>IFERROR(VLOOKUP(INT(MID($K$2,K48,FIND(")",$K$2,K48)-K48)),Handlungsempfehlungen!$A$2:$C$17,3,FALSE),"")</f>
        <v/>
      </c>
      <c r="N48" s="135"/>
      <c r="O48" s="135"/>
      <c r="Q48" s="1"/>
    </row>
    <row r="49" spans="1:17" ht="15" customHeight="1" x14ac:dyDescent="0.2">
      <c r="C49" s="37">
        <f>Bewertungsbogen!G9</f>
        <v>0.7</v>
      </c>
      <c r="D49" s="50">
        <f>Bewertungsbogen!F9</f>
        <v>0.6</v>
      </c>
      <c r="E49" s="45"/>
      <c r="F49" s="157"/>
      <c r="G49" s="157"/>
      <c r="H49" s="157"/>
      <c r="I49" s="157"/>
      <c r="J49" s="157"/>
      <c r="L49" s="134"/>
      <c r="M49" s="135"/>
      <c r="N49" s="135"/>
      <c r="O49" s="135"/>
      <c r="P49" s="1"/>
      <c r="Q49" s="1"/>
    </row>
    <row r="50" spans="1:17" ht="15" customHeight="1" x14ac:dyDescent="0.2">
      <c r="A50" s="45"/>
      <c r="B50" s="45"/>
      <c r="C50" s="45"/>
      <c r="D50" s="48"/>
      <c r="E50" s="45"/>
      <c r="F50" s="157"/>
      <c r="G50" s="157"/>
      <c r="H50" s="157"/>
      <c r="I50" s="157"/>
      <c r="J50" s="157"/>
      <c r="L50" s="134"/>
      <c r="M50" s="135"/>
      <c r="N50" s="135"/>
      <c r="O50" s="135"/>
      <c r="Q50" s="1"/>
    </row>
    <row r="51" spans="1:17" ht="15" customHeight="1" x14ac:dyDescent="0.2">
      <c r="A51" s="45"/>
      <c r="B51" s="45"/>
      <c r="C51" s="45"/>
      <c r="D51" s="48"/>
      <c r="E51" s="45"/>
      <c r="F51" s="157"/>
      <c r="G51" s="157"/>
      <c r="H51" s="157"/>
      <c r="I51" s="157"/>
      <c r="J51" s="157"/>
      <c r="L51" s="134"/>
      <c r="M51" s="135"/>
      <c r="N51" s="135"/>
      <c r="O51" s="135"/>
    </row>
    <row r="52" spans="1:17" ht="15" customHeight="1" x14ac:dyDescent="0.2">
      <c r="A52" s="45"/>
      <c r="B52" s="45"/>
      <c r="C52" s="45"/>
      <c r="D52" s="48"/>
      <c r="E52" s="45"/>
      <c r="F52" s="157"/>
      <c r="G52" s="157"/>
      <c r="H52" s="157"/>
      <c r="I52" s="157"/>
      <c r="J52" s="157"/>
      <c r="L52" s="134"/>
      <c r="M52" s="135"/>
      <c r="N52" s="135"/>
      <c r="O52" s="135"/>
    </row>
    <row r="53" spans="1:17" ht="15" customHeight="1" x14ac:dyDescent="0.2">
      <c r="D53" s="49"/>
      <c r="F53" s="157"/>
      <c r="G53" s="157"/>
      <c r="H53" s="157"/>
      <c r="I53" s="157"/>
      <c r="J53" s="157"/>
    </row>
  </sheetData>
  <sheetProtection sheet="1" objects="1" scenarios="1"/>
  <mergeCells count="48">
    <mergeCell ref="A36:C40"/>
    <mergeCell ref="D36:D40"/>
    <mergeCell ref="A3:D12"/>
    <mergeCell ref="A2:D2"/>
    <mergeCell ref="A26:C31"/>
    <mergeCell ref="D26:D31"/>
    <mergeCell ref="A21:B21"/>
    <mergeCell ref="A20:B20"/>
    <mergeCell ref="A22:B22"/>
    <mergeCell ref="L48:L52"/>
    <mergeCell ref="L38:L42"/>
    <mergeCell ref="L18:L22"/>
    <mergeCell ref="F2:J2"/>
    <mergeCell ref="F3:J14"/>
    <mergeCell ref="F15:J15"/>
    <mergeCell ref="F16:J27"/>
    <mergeCell ref="F28:J28"/>
    <mergeCell ref="F41:J41"/>
    <mergeCell ref="F42:J53"/>
    <mergeCell ref="F29:J40"/>
    <mergeCell ref="L3:O7"/>
    <mergeCell ref="M48:O52"/>
    <mergeCell ref="M38:O42"/>
    <mergeCell ref="L43:L47"/>
    <mergeCell ref="M43:O47"/>
    <mergeCell ref="B1:D1"/>
    <mergeCell ref="E1:F1"/>
    <mergeCell ref="G1:J1"/>
    <mergeCell ref="L33:L37"/>
    <mergeCell ref="M33:O37"/>
    <mergeCell ref="K1:L1"/>
    <mergeCell ref="L8:L12"/>
    <mergeCell ref="M8:O12"/>
    <mergeCell ref="L13:L17"/>
    <mergeCell ref="M13:O17"/>
    <mergeCell ref="D13:D19"/>
    <mergeCell ref="A13:B19"/>
    <mergeCell ref="C13:C19"/>
    <mergeCell ref="L2:O2"/>
    <mergeCell ref="A24:B24"/>
    <mergeCell ref="M18:O22"/>
    <mergeCell ref="L23:L27"/>
    <mergeCell ref="M23:O27"/>
    <mergeCell ref="L28:L32"/>
    <mergeCell ref="M28:O32"/>
    <mergeCell ref="A33:D34"/>
    <mergeCell ref="A32:D32"/>
    <mergeCell ref="A23:B23"/>
  </mergeCells>
  <conditionalFormatting sqref="A26:D31">
    <cfRule type="expression" dxfId="1" priority="109" stopIfTrue="1">
      <formula>($D$20&gt;=$C$45)*($D$21&gt;=$C$46)*($D$22&gt;=$C$47)*($D$23&gt;=$C$48)=0</formula>
    </cfRule>
  </conditionalFormatting>
  <conditionalFormatting sqref="A36:D40">
    <cfRule type="expression" dxfId="0" priority="108">
      <formula>($D$24&lt;$C$49)*($C$24&gt;=$D$49)</formula>
    </cfRule>
  </conditionalFormatting>
  <conditionalFormatting sqref="C20">
    <cfRule type="iconSet" priority="87">
      <iconSet iconSet="3Symbols2">
        <cfvo type="percent" val="0"/>
        <cfvo type="num" val="0"/>
        <cfvo type="num" val="$D$45"/>
      </iconSet>
    </cfRule>
  </conditionalFormatting>
  <conditionalFormatting sqref="C21">
    <cfRule type="iconSet" priority="88">
      <iconSet iconSet="3Symbols2">
        <cfvo type="percent" val="0"/>
        <cfvo type="num" val="0"/>
        <cfvo type="num" val="$D$46"/>
      </iconSet>
    </cfRule>
  </conditionalFormatting>
  <conditionalFormatting sqref="C22">
    <cfRule type="iconSet" priority="89">
      <iconSet iconSet="3Symbols2">
        <cfvo type="percent" val="0"/>
        <cfvo type="num" val="0"/>
        <cfvo type="num" val="$D$47"/>
      </iconSet>
    </cfRule>
  </conditionalFormatting>
  <conditionalFormatting sqref="C23">
    <cfRule type="iconSet" priority="90">
      <iconSet iconSet="3Symbols2">
        <cfvo type="percent" val="0"/>
        <cfvo type="num" val="0"/>
        <cfvo type="num" val="$D$48"/>
      </iconSet>
    </cfRule>
  </conditionalFormatting>
  <conditionalFormatting sqref="C24">
    <cfRule type="iconSet" priority="91">
      <iconSet iconSet="3Symbols2">
        <cfvo type="percent" val="0"/>
        <cfvo type="num" val="0"/>
        <cfvo type="num" val="$D$49"/>
      </iconSet>
    </cfRule>
  </conditionalFormatting>
  <conditionalFormatting sqref="D20">
    <cfRule type="iconSet" priority="92">
      <iconSet iconSet="3Symbols2">
        <cfvo type="percent" val="0"/>
        <cfvo type="num" val="0"/>
        <cfvo type="num" val="$C$45"/>
      </iconSet>
    </cfRule>
  </conditionalFormatting>
  <conditionalFormatting sqref="D21">
    <cfRule type="iconSet" priority="93">
      <iconSet iconSet="3Symbols2">
        <cfvo type="percent" val="0"/>
        <cfvo type="num" val="0"/>
        <cfvo type="num" val="$C$46"/>
      </iconSet>
    </cfRule>
  </conditionalFormatting>
  <conditionalFormatting sqref="D22">
    <cfRule type="iconSet" priority="94">
      <iconSet iconSet="3Symbols2">
        <cfvo type="percent" val="0"/>
        <cfvo type="num" val="0"/>
        <cfvo type="num" val="$C$47"/>
      </iconSet>
    </cfRule>
  </conditionalFormatting>
  <conditionalFormatting sqref="D23">
    <cfRule type="iconSet" priority="95">
      <iconSet iconSet="3Symbols2">
        <cfvo type="percent" val="0"/>
        <cfvo type="num" val="0"/>
        <cfvo type="num" val="$C$48"/>
      </iconSet>
    </cfRule>
  </conditionalFormatting>
  <conditionalFormatting sqref="D24">
    <cfRule type="iconSet" priority="96">
      <iconSet iconSet="3Symbols2">
        <cfvo type="percent" val="0"/>
        <cfvo type="num" val="0"/>
        <cfvo type="num" val="$C$49"/>
      </iconSet>
    </cfRule>
  </conditionalFormatting>
  <pageMargins left="0.7" right="0.7" top="0.75" bottom="0.56623931623931623"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3E5D6-DA5B-40B6-AECA-B8912B57BFC6}">
  <dimension ref="A1:N50"/>
  <sheetViews>
    <sheetView zoomScale="130" zoomScaleNormal="130" workbookViewId="0">
      <pane ySplit="1" topLeftCell="A11" activePane="bottomLeft" state="frozen"/>
      <selection pane="bottomLeft" activeCell="A11" sqref="A11"/>
    </sheetView>
  </sheetViews>
  <sheetFormatPr baseColWidth="10" defaultColWidth="21.33203125" defaultRowHeight="15" x14ac:dyDescent="0.2"/>
  <cols>
    <col min="1" max="1" width="7.6640625" style="28" bestFit="1" customWidth="1"/>
    <col min="2" max="2" width="12" style="28" bestFit="1" customWidth="1"/>
    <col min="3" max="3" width="7.33203125" style="28" customWidth="1"/>
    <col min="4" max="4" width="8.5" style="28" customWidth="1"/>
    <col min="5" max="5" width="11" style="28" customWidth="1"/>
    <col min="6" max="6" width="6.33203125" style="28" customWidth="1"/>
    <col min="7" max="11" width="29" style="28" customWidth="1"/>
    <col min="12" max="12" width="85.33203125" style="28" customWidth="1"/>
    <col min="13" max="13" width="11.33203125" style="32" customWidth="1"/>
    <col min="14" max="14" width="9.83203125" style="34" customWidth="1"/>
    <col min="15" max="16384" width="21.33203125" style="28"/>
  </cols>
  <sheetData>
    <row r="1" spans="1:14" ht="32" x14ac:dyDescent="0.2">
      <c r="A1" s="28" t="s">
        <v>321</v>
      </c>
      <c r="B1" s="28" t="s">
        <v>110</v>
      </c>
      <c r="C1" s="28" t="s">
        <v>322</v>
      </c>
      <c r="D1" s="28" t="s">
        <v>432</v>
      </c>
      <c r="E1" s="28" t="s">
        <v>109</v>
      </c>
      <c r="F1" s="28" t="s">
        <v>111</v>
      </c>
      <c r="G1" s="28" t="s">
        <v>113</v>
      </c>
      <c r="H1" s="28" t="s">
        <v>114</v>
      </c>
      <c r="I1" s="28" t="s">
        <v>463</v>
      </c>
      <c r="J1" s="28" t="s">
        <v>325</v>
      </c>
      <c r="K1" s="28" t="s">
        <v>458</v>
      </c>
      <c r="L1" s="28" t="s">
        <v>115</v>
      </c>
      <c r="M1" s="32" t="s">
        <v>200</v>
      </c>
      <c r="N1" s="34" t="s">
        <v>302</v>
      </c>
    </row>
    <row r="2" spans="1:14" customFormat="1" ht="64" x14ac:dyDescent="0.2">
      <c r="A2" s="35" t="str">
        <f>_xlfn.CONCAT(LEFT(Table1[[#This Row],[Dimension]],1),TEXT(Table1[[#This Row],[Cluster]],"00"),Table1[[#This Row],[Fragecode]])</f>
        <v>E01a</v>
      </c>
      <c r="B2" s="41" t="s">
        <v>120</v>
      </c>
      <c r="C2" s="33">
        <v>1</v>
      </c>
      <c r="D2" s="33" t="s">
        <v>323</v>
      </c>
      <c r="E2" s="31" t="s">
        <v>11</v>
      </c>
      <c r="F2" s="31" t="s">
        <v>0</v>
      </c>
      <c r="G2" s="31" t="s">
        <v>12</v>
      </c>
      <c r="H2" s="31" t="s">
        <v>13</v>
      </c>
      <c r="I2" s="31" t="s">
        <v>364</v>
      </c>
      <c r="J2" s="31" t="s">
        <v>15</v>
      </c>
      <c r="K2" s="31" t="s">
        <v>380</v>
      </c>
      <c r="L2" s="31" t="s">
        <v>14</v>
      </c>
      <c r="M2" s="33">
        <v>1</v>
      </c>
      <c r="N2" s="33">
        <v>0.1</v>
      </c>
    </row>
    <row r="3" spans="1:14" customFormat="1" ht="64" x14ac:dyDescent="0.2">
      <c r="A3" s="35" t="str">
        <f>_xlfn.CONCAT(LEFT(Table1[[#This Row],[Dimension]],1),TEXT(Table1[[#This Row],[Cluster]],"00"),Table1[[#This Row],[Fragecode]])</f>
        <v>E01b</v>
      </c>
      <c r="B3" s="41" t="s">
        <v>120</v>
      </c>
      <c r="C3" s="33">
        <v>1</v>
      </c>
      <c r="D3" s="33" t="s">
        <v>422</v>
      </c>
      <c r="E3" s="31" t="s">
        <v>11</v>
      </c>
      <c r="F3" s="31" t="s">
        <v>0</v>
      </c>
      <c r="G3" s="31" t="s">
        <v>237</v>
      </c>
      <c r="H3" s="31" t="s">
        <v>3</v>
      </c>
      <c r="I3" s="31" t="s">
        <v>363</v>
      </c>
      <c r="J3" s="31" t="s">
        <v>5</v>
      </c>
      <c r="K3" s="31" t="s">
        <v>379</v>
      </c>
      <c r="L3" s="31" t="s">
        <v>4</v>
      </c>
      <c r="M3" s="33">
        <v>1</v>
      </c>
      <c r="N3" s="33">
        <v>0.8</v>
      </c>
    </row>
    <row r="4" spans="1:14" customFormat="1" ht="61" x14ac:dyDescent="0.2">
      <c r="A4" s="35" t="str">
        <f>_xlfn.CONCAT(LEFT(Table1[[#This Row],[Dimension]],1),TEXT(Table1[[#This Row],[Cluster]],"00"),Table1[[#This Row],[Fragecode]])</f>
        <v>E02a</v>
      </c>
      <c r="B4" s="41" t="s">
        <v>120</v>
      </c>
      <c r="C4" s="33">
        <v>2</v>
      </c>
      <c r="D4" s="33" t="s">
        <v>323</v>
      </c>
      <c r="E4" s="31" t="s">
        <v>47</v>
      </c>
      <c r="F4" s="31" t="s">
        <v>0</v>
      </c>
      <c r="G4" s="31" t="s">
        <v>37</v>
      </c>
      <c r="H4" s="31" t="s">
        <v>38</v>
      </c>
      <c r="I4" s="31" t="s">
        <v>419</v>
      </c>
      <c r="J4" s="31" t="s">
        <v>40</v>
      </c>
      <c r="K4" s="31" t="s">
        <v>420</v>
      </c>
      <c r="L4" s="31" t="s">
        <v>39</v>
      </c>
      <c r="M4" s="33">
        <v>1</v>
      </c>
      <c r="N4" s="33">
        <v>0.5</v>
      </c>
    </row>
    <row r="5" spans="1:14" customFormat="1" ht="64" x14ac:dyDescent="0.2">
      <c r="A5" s="35" t="str">
        <f>_xlfn.CONCAT(LEFT(Table1[[#This Row],[Dimension]],1),TEXT(Table1[[#This Row],[Cluster]],"00"),Table1[[#This Row],[Fragecode]])</f>
        <v>E02b</v>
      </c>
      <c r="B5" s="41" t="s">
        <v>120</v>
      </c>
      <c r="C5" s="33">
        <v>2</v>
      </c>
      <c r="D5" s="33" t="s">
        <v>422</v>
      </c>
      <c r="E5" s="31" t="s">
        <v>47</v>
      </c>
      <c r="F5" s="31" t="s">
        <v>0</v>
      </c>
      <c r="G5" s="31" t="s">
        <v>48</v>
      </c>
      <c r="H5" s="31" t="s">
        <v>49</v>
      </c>
      <c r="I5" s="31" t="s">
        <v>415</v>
      </c>
      <c r="J5" s="31" t="s">
        <v>51</v>
      </c>
      <c r="K5" s="31" t="s">
        <v>414</v>
      </c>
      <c r="L5" s="31" t="s">
        <v>50</v>
      </c>
      <c r="M5" s="33">
        <v>1</v>
      </c>
      <c r="N5" s="33">
        <v>1</v>
      </c>
    </row>
    <row r="6" spans="1:14" customFormat="1" ht="80" x14ac:dyDescent="0.2">
      <c r="A6" s="35" t="str">
        <f>_xlfn.CONCAT(LEFT(Table1[[#This Row],[Dimension]],1),TEXT(Table1[[#This Row],[Cluster]],"00"),Table1[[#This Row],[Fragecode]])</f>
        <v>E03a</v>
      </c>
      <c r="B6" s="41" t="s">
        <v>120</v>
      </c>
      <c r="C6" s="33">
        <v>3</v>
      </c>
      <c r="D6" s="33" t="s">
        <v>323</v>
      </c>
      <c r="E6" s="31" t="s">
        <v>24</v>
      </c>
      <c r="F6" s="31" t="s">
        <v>0</v>
      </c>
      <c r="G6" s="31" t="s">
        <v>25</v>
      </c>
      <c r="H6" s="31" t="s">
        <v>238</v>
      </c>
      <c r="I6" s="31" t="s">
        <v>365</v>
      </c>
      <c r="J6" s="31" t="s">
        <v>26</v>
      </c>
      <c r="K6" s="31" t="s">
        <v>381</v>
      </c>
      <c r="L6" s="31" t="s">
        <v>239</v>
      </c>
      <c r="M6" s="33">
        <v>1</v>
      </c>
      <c r="N6" s="33">
        <v>0.75</v>
      </c>
    </row>
    <row r="7" spans="1:14" customFormat="1" ht="61" x14ac:dyDescent="0.2">
      <c r="A7" s="35" t="str">
        <f>_xlfn.CONCAT(LEFT(Table1[[#This Row],[Dimension]],1),TEXT(Table1[[#This Row],[Cluster]],"00"),Table1[[#This Row],[Fragecode]])</f>
        <v>E03b</v>
      </c>
      <c r="B7" s="41" t="s">
        <v>120</v>
      </c>
      <c r="C7" s="33">
        <v>3</v>
      </c>
      <c r="D7" s="33" t="s">
        <v>422</v>
      </c>
      <c r="E7" s="31" t="s">
        <v>24</v>
      </c>
      <c r="F7" s="31" t="s">
        <v>0</v>
      </c>
      <c r="G7" s="31" t="s">
        <v>243</v>
      </c>
      <c r="H7" s="31" t="s">
        <v>83</v>
      </c>
      <c r="I7" s="31" t="s">
        <v>347</v>
      </c>
      <c r="J7" s="31" t="s">
        <v>84</v>
      </c>
      <c r="K7" s="31" t="s">
        <v>397</v>
      </c>
      <c r="L7" s="31" t="s">
        <v>244</v>
      </c>
      <c r="M7" s="33">
        <v>1</v>
      </c>
      <c r="N7" s="33">
        <v>0.2</v>
      </c>
    </row>
    <row r="8" spans="1:14" customFormat="1" ht="112" x14ac:dyDescent="0.2">
      <c r="A8" s="35" t="str">
        <f>_xlfn.CONCAT(LEFT(Table1[[#This Row],[Dimension]],1),TEXT(Table1[[#This Row],[Cluster]],"00"),Table1[[#This Row],[Fragecode]])</f>
        <v>E03c</v>
      </c>
      <c r="B8" s="41" t="s">
        <v>120</v>
      </c>
      <c r="C8" s="33">
        <v>3</v>
      </c>
      <c r="D8" s="33" t="s">
        <v>423</v>
      </c>
      <c r="E8" s="31" t="s">
        <v>24</v>
      </c>
      <c r="F8" s="31"/>
      <c r="G8" s="31" t="s">
        <v>289</v>
      </c>
      <c r="H8" s="31"/>
      <c r="I8" s="31" t="s">
        <v>366</v>
      </c>
      <c r="J8" s="31" t="s">
        <v>292</v>
      </c>
      <c r="K8" s="31" t="s">
        <v>382</v>
      </c>
      <c r="L8" s="31" t="s">
        <v>286</v>
      </c>
      <c r="M8" s="33">
        <v>1</v>
      </c>
      <c r="N8" s="33">
        <v>1</v>
      </c>
    </row>
    <row r="9" spans="1:14" customFormat="1" ht="112" x14ac:dyDescent="0.2">
      <c r="A9" s="35" t="str">
        <f>_xlfn.CONCAT(LEFT(Table1[[#This Row],[Dimension]],1),TEXT(Table1[[#This Row],[Cluster]],"00"),Table1[[#This Row],[Fragecode]])</f>
        <v>E03d</v>
      </c>
      <c r="B9" s="41" t="s">
        <v>120</v>
      </c>
      <c r="C9" s="33">
        <v>3</v>
      </c>
      <c r="D9" s="33" t="s">
        <v>424</v>
      </c>
      <c r="E9" s="31" t="s">
        <v>24</v>
      </c>
      <c r="F9" s="31"/>
      <c r="G9" s="31" t="s">
        <v>290</v>
      </c>
      <c r="H9" s="31"/>
      <c r="I9" s="31" t="s">
        <v>348</v>
      </c>
      <c r="J9" s="31" t="s">
        <v>293</v>
      </c>
      <c r="K9" s="31" t="s">
        <v>398</v>
      </c>
      <c r="L9" s="31" t="s">
        <v>287</v>
      </c>
      <c r="M9" s="33">
        <v>1</v>
      </c>
      <c r="N9" s="33">
        <v>1</v>
      </c>
    </row>
    <row r="10" spans="1:14" customFormat="1" ht="112" x14ac:dyDescent="0.2">
      <c r="A10" s="35" t="str">
        <f>_xlfn.CONCAT(LEFT(Table1[[#This Row],[Dimension]],1),TEXT(Table1[[#This Row],[Cluster]],"00"),Table1[[#This Row],[Fragecode]])</f>
        <v>E03e</v>
      </c>
      <c r="B10" s="41" t="s">
        <v>120</v>
      </c>
      <c r="C10" s="33">
        <v>3</v>
      </c>
      <c r="D10" s="33" t="s">
        <v>334</v>
      </c>
      <c r="E10" s="31" t="s">
        <v>24</v>
      </c>
      <c r="F10" s="31"/>
      <c r="G10" s="31" t="s">
        <v>281</v>
      </c>
      <c r="H10" s="31"/>
      <c r="I10" s="31" t="s">
        <v>362</v>
      </c>
      <c r="J10" s="31" t="s">
        <v>283</v>
      </c>
      <c r="K10" s="31" t="s">
        <v>378</v>
      </c>
      <c r="L10" s="31" t="s">
        <v>285</v>
      </c>
      <c r="M10" s="33">
        <v>1</v>
      </c>
      <c r="N10" s="33">
        <v>1</v>
      </c>
    </row>
    <row r="11" spans="1:14" customFormat="1" ht="96" x14ac:dyDescent="0.2">
      <c r="A11" s="35" t="str">
        <f>_xlfn.CONCAT(LEFT(Table1[[#This Row],[Dimension]],1),TEXT(Table1[[#This Row],[Cluster]],"00"),Table1[[#This Row],[Fragecode]])</f>
        <v>E03f</v>
      </c>
      <c r="B11" s="41" t="s">
        <v>120</v>
      </c>
      <c r="C11" s="33">
        <v>3</v>
      </c>
      <c r="D11" s="33" t="s">
        <v>426</v>
      </c>
      <c r="E11" s="31" t="s">
        <v>24</v>
      </c>
      <c r="F11" s="31"/>
      <c r="G11" s="31" t="s">
        <v>291</v>
      </c>
      <c r="H11" s="31"/>
      <c r="I11" s="31" t="s">
        <v>349</v>
      </c>
      <c r="J11" s="31" t="s">
        <v>294</v>
      </c>
      <c r="K11" s="31" t="s">
        <v>383</v>
      </c>
      <c r="L11" s="31" t="s">
        <v>288</v>
      </c>
      <c r="M11" s="33">
        <v>1</v>
      </c>
      <c r="N11" s="33">
        <v>1</v>
      </c>
    </row>
    <row r="12" spans="1:14" customFormat="1" ht="61" x14ac:dyDescent="0.2">
      <c r="A12" s="35" t="str">
        <f>_xlfn.CONCAT(LEFT(Table1[[#This Row],[Dimension]],1),TEXT(Table1[[#This Row],[Cluster]],"00"),Table1[[#This Row],[Fragecode]])</f>
        <v>E04a</v>
      </c>
      <c r="B12" s="41" t="s">
        <v>120</v>
      </c>
      <c r="C12" s="33">
        <v>4</v>
      </c>
      <c r="D12" s="33" t="s">
        <v>323</v>
      </c>
      <c r="E12" s="31" t="s">
        <v>62</v>
      </c>
      <c r="F12" s="31" t="s">
        <v>16</v>
      </c>
      <c r="G12" s="31" t="s">
        <v>63</v>
      </c>
      <c r="H12" s="31" t="s">
        <v>64</v>
      </c>
      <c r="I12" s="31" t="s">
        <v>346</v>
      </c>
      <c r="J12" s="31" t="s">
        <v>66</v>
      </c>
      <c r="K12" s="31" t="s">
        <v>396</v>
      </c>
      <c r="L12" s="31" t="s">
        <v>65</v>
      </c>
      <c r="M12" s="33">
        <v>1</v>
      </c>
      <c r="N12" s="33">
        <v>0.1</v>
      </c>
    </row>
    <row r="13" spans="1:14" customFormat="1" ht="61" x14ac:dyDescent="0.2">
      <c r="A13" s="35" t="str">
        <f>_xlfn.CONCAT(LEFT(Table1[[#This Row],[Dimension]],1),TEXT(Table1[[#This Row],[Cluster]],"00"),Table1[[#This Row],[Fragecode]])</f>
        <v>E04b</v>
      </c>
      <c r="B13" s="41" t="s">
        <v>120</v>
      </c>
      <c r="C13" s="33">
        <v>4</v>
      </c>
      <c r="D13" s="33" t="s">
        <v>422</v>
      </c>
      <c r="E13" s="31" t="s">
        <v>62</v>
      </c>
      <c r="F13" s="31" t="s">
        <v>16</v>
      </c>
      <c r="G13" s="31" t="s">
        <v>240</v>
      </c>
      <c r="H13" s="31" t="s">
        <v>75</v>
      </c>
      <c r="I13" s="31" t="s">
        <v>413</v>
      </c>
      <c r="J13" s="31" t="s">
        <v>241</v>
      </c>
      <c r="K13" s="31" t="s">
        <v>418</v>
      </c>
      <c r="L13" s="31" t="s">
        <v>242</v>
      </c>
      <c r="M13" s="33">
        <v>1</v>
      </c>
      <c r="N13" s="33">
        <v>0.25</v>
      </c>
    </row>
    <row r="14" spans="1:14" customFormat="1" ht="80" x14ac:dyDescent="0.2">
      <c r="A14" s="35" t="str">
        <f>_xlfn.CONCAT(LEFT(Table1[[#This Row],[Dimension]],1),TEXT(Table1[[#This Row],[Cluster]],"00"),Table1[[#This Row],[Fragecode]])</f>
        <v>M01a</v>
      </c>
      <c r="B14" s="41" t="s">
        <v>121</v>
      </c>
      <c r="C14" s="33">
        <v>1</v>
      </c>
      <c r="D14" s="33" t="s">
        <v>323</v>
      </c>
      <c r="E14" s="31" t="s">
        <v>6</v>
      </c>
      <c r="F14" s="31" t="s">
        <v>0</v>
      </c>
      <c r="G14" s="31" t="s">
        <v>245</v>
      </c>
      <c r="H14" s="31" t="s">
        <v>246</v>
      </c>
      <c r="I14" s="31" t="s">
        <v>350</v>
      </c>
      <c r="J14" s="31" t="s">
        <v>7</v>
      </c>
      <c r="K14" s="31" t="s">
        <v>399</v>
      </c>
      <c r="L14" s="31" t="s">
        <v>247</v>
      </c>
      <c r="M14" s="33">
        <v>1</v>
      </c>
      <c r="N14" s="33">
        <v>1</v>
      </c>
    </row>
    <row r="15" spans="1:14" customFormat="1" ht="35" x14ac:dyDescent="0.2">
      <c r="A15" s="35" t="str">
        <f>_xlfn.CONCAT(LEFT(Table1[[#This Row],[Dimension]],1),TEXT(Table1[[#This Row],[Cluster]],"00"),Table1[[#This Row],[Fragecode]])</f>
        <v>M01b</v>
      </c>
      <c r="B15" s="41" t="s">
        <v>121</v>
      </c>
      <c r="C15" s="33">
        <v>1</v>
      </c>
      <c r="D15" s="33" t="s">
        <v>422</v>
      </c>
      <c r="E15" s="31" t="s">
        <v>6</v>
      </c>
      <c r="F15" s="31" t="s">
        <v>16</v>
      </c>
      <c r="G15" s="31" t="s">
        <v>17</v>
      </c>
      <c r="H15" s="31" t="s">
        <v>18</v>
      </c>
      <c r="I15" s="31" t="s">
        <v>351</v>
      </c>
      <c r="J15" s="31" t="s">
        <v>19</v>
      </c>
      <c r="K15" s="31" t="s">
        <v>384</v>
      </c>
      <c r="L15" s="31" t="s">
        <v>248</v>
      </c>
      <c r="M15" s="33">
        <v>1</v>
      </c>
      <c r="N15" s="33">
        <v>1</v>
      </c>
    </row>
    <row r="16" spans="1:14" customFormat="1" ht="35" x14ac:dyDescent="0.2">
      <c r="A16" s="35" t="str">
        <f>_xlfn.CONCAT(LEFT(Table1[[#This Row],[Dimension]],1),TEXT(Table1[[#This Row],[Cluster]],"00"),Table1[[#This Row],[Fragecode]])</f>
        <v>M01c</v>
      </c>
      <c r="B16" s="41" t="s">
        <v>121</v>
      </c>
      <c r="C16" s="33">
        <v>1</v>
      </c>
      <c r="D16" s="33" t="s">
        <v>423</v>
      </c>
      <c r="E16" s="31" t="s">
        <v>6</v>
      </c>
      <c r="F16" s="31" t="s">
        <v>16</v>
      </c>
      <c r="G16" s="31" t="s">
        <v>27</v>
      </c>
      <c r="H16" s="31" t="s">
        <v>28</v>
      </c>
      <c r="I16" s="31" t="s">
        <v>367</v>
      </c>
      <c r="J16" s="31" t="s">
        <v>29</v>
      </c>
      <c r="K16" s="31" t="s">
        <v>400</v>
      </c>
      <c r="L16" s="31" t="s">
        <v>249</v>
      </c>
      <c r="M16" s="33">
        <v>1</v>
      </c>
      <c r="N16" s="33">
        <v>1</v>
      </c>
    </row>
    <row r="17" spans="1:14" customFormat="1" ht="35" x14ac:dyDescent="0.2">
      <c r="A17" s="35" t="str">
        <f>_xlfn.CONCAT(LEFT(Table1[[#This Row],[Dimension]],1),TEXT(Table1[[#This Row],[Cluster]],"00"),Table1[[#This Row],[Fragecode]])</f>
        <v>M01d</v>
      </c>
      <c r="B17" s="41" t="s">
        <v>121</v>
      </c>
      <c r="C17" s="33">
        <v>1</v>
      </c>
      <c r="D17" s="33" t="s">
        <v>424</v>
      </c>
      <c r="E17" s="31" t="s">
        <v>6</v>
      </c>
      <c r="F17" s="31" t="s">
        <v>16</v>
      </c>
      <c r="G17" s="31" t="s">
        <v>41</v>
      </c>
      <c r="H17" s="31" t="s">
        <v>42</v>
      </c>
      <c r="I17" s="31" t="s">
        <v>416</v>
      </c>
      <c r="J17" s="31" t="s">
        <v>43</v>
      </c>
      <c r="K17" s="31" t="s">
        <v>417</v>
      </c>
      <c r="L17" s="31" t="s">
        <v>250</v>
      </c>
      <c r="M17" s="33">
        <v>1</v>
      </c>
      <c r="N17" s="33">
        <v>1</v>
      </c>
    </row>
    <row r="18" spans="1:14" customFormat="1" ht="35" x14ac:dyDescent="0.2">
      <c r="A18" s="35" t="str">
        <f>_xlfn.CONCAT(LEFT(Table1[[#This Row],[Dimension]],1),TEXT(Table1[[#This Row],[Cluster]],"00"),Table1[[#This Row],[Fragecode]])</f>
        <v>M01e</v>
      </c>
      <c r="B18" s="41" t="s">
        <v>121</v>
      </c>
      <c r="C18" s="33">
        <v>1</v>
      </c>
      <c r="D18" s="33" t="s">
        <v>334</v>
      </c>
      <c r="E18" s="31" t="s">
        <v>6</v>
      </c>
      <c r="F18" s="31" t="s">
        <v>16</v>
      </c>
      <c r="G18" s="31" t="s">
        <v>52</v>
      </c>
      <c r="H18" s="31" t="s">
        <v>53</v>
      </c>
      <c r="I18" s="31" t="s">
        <v>352</v>
      </c>
      <c r="J18" s="31" t="s">
        <v>54</v>
      </c>
      <c r="K18" s="31" t="s">
        <v>401</v>
      </c>
      <c r="L18" s="31" t="s">
        <v>251</v>
      </c>
      <c r="M18" s="33">
        <v>1</v>
      </c>
      <c r="N18" s="33">
        <v>0.5</v>
      </c>
    </row>
    <row r="19" spans="1:14" customFormat="1" ht="64" x14ac:dyDescent="0.2">
      <c r="A19" s="35" t="str">
        <f>_xlfn.CONCAT(LEFT(Table1[[#This Row],[Dimension]],1),TEXT(Table1[[#This Row],[Cluster]],"00"),Table1[[#This Row],[Fragecode]])</f>
        <v>M01f</v>
      </c>
      <c r="B19" s="41" t="s">
        <v>121</v>
      </c>
      <c r="C19" s="33">
        <v>1</v>
      </c>
      <c r="D19" s="33" t="s">
        <v>426</v>
      </c>
      <c r="E19" s="31" t="s">
        <v>6</v>
      </c>
      <c r="F19" s="31"/>
      <c r="G19" s="31" t="s">
        <v>296</v>
      </c>
      <c r="H19" s="31"/>
      <c r="I19" s="31" t="s">
        <v>356</v>
      </c>
      <c r="J19" s="31" t="s">
        <v>298</v>
      </c>
      <c r="K19" s="31" t="s">
        <v>404</v>
      </c>
      <c r="L19" s="31" t="s">
        <v>300</v>
      </c>
      <c r="M19" s="33">
        <v>1</v>
      </c>
      <c r="N19" s="33">
        <v>0.9</v>
      </c>
    </row>
    <row r="20" spans="1:14" customFormat="1" ht="96" x14ac:dyDescent="0.2">
      <c r="A20" s="35" t="str">
        <f>_xlfn.CONCAT(LEFT(Table1[[#This Row],[Dimension]],1),TEXT(Table1[[#This Row],[Cluster]],"00"),Table1[[#This Row],[Fragecode]])</f>
        <v>M01g</v>
      </c>
      <c r="B20" s="41" t="s">
        <v>121</v>
      </c>
      <c r="C20" s="33">
        <v>1</v>
      </c>
      <c r="D20" s="33" t="s">
        <v>428</v>
      </c>
      <c r="E20" s="31" t="s">
        <v>6</v>
      </c>
      <c r="F20" s="31"/>
      <c r="G20" s="31" t="s">
        <v>295</v>
      </c>
      <c r="H20" s="31"/>
      <c r="I20" s="31" t="s">
        <v>372</v>
      </c>
      <c r="J20" s="31" t="s">
        <v>297</v>
      </c>
      <c r="K20" s="31" t="s">
        <v>389</v>
      </c>
      <c r="L20" s="31" t="s">
        <v>299</v>
      </c>
      <c r="M20" s="33">
        <v>1</v>
      </c>
      <c r="N20" s="33">
        <v>0.9</v>
      </c>
    </row>
    <row r="21" spans="1:14" customFormat="1" ht="48" x14ac:dyDescent="0.2">
      <c r="A21" s="35" t="str">
        <f>_xlfn.CONCAT(LEFT(Table1[[#This Row],[Dimension]],1),TEXT(Table1[[#This Row],[Cluster]],"00"),Table1[[#This Row],[Fragecode]])</f>
        <v>M02a</v>
      </c>
      <c r="B21" s="41" t="s">
        <v>121</v>
      </c>
      <c r="C21" s="33">
        <v>2</v>
      </c>
      <c r="D21" s="33" t="s">
        <v>323</v>
      </c>
      <c r="E21" s="31" t="s">
        <v>427</v>
      </c>
      <c r="F21" s="31" t="s">
        <v>0</v>
      </c>
      <c r="G21" s="31" t="s">
        <v>85</v>
      </c>
      <c r="H21" s="31" t="s">
        <v>86</v>
      </c>
      <c r="I21" s="31" t="s">
        <v>369</v>
      </c>
      <c r="J21" s="31" t="s">
        <v>87</v>
      </c>
      <c r="K21" s="31" t="s">
        <v>411</v>
      </c>
      <c r="L21" s="31" t="s">
        <v>255</v>
      </c>
      <c r="M21" s="33">
        <v>1</v>
      </c>
      <c r="N21" s="33">
        <v>1</v>
      </c>
    </row>
    <row r="22" spans="1:14" customFormat="1" ht="96" x14ac:dyDescent="0.2">
      <c r="A22" s="35" t="str">
        <f>_xlfn.CONCAT(LEFT(Table1[[#This Row],[Dimension]],1),TEXT(Table1[[#This Row],[Cluster]],"00"),Table1[[#This Row],[Fragecode]])</f>
        <v>M02b</v>
      </c>
      <c r="B22" s="41" t="s">
        <v>121</v>
      </c>
      <c r="C22" s="33">
        <v>2</v>
      </c>
      <c r="D22" s="33" t="s">
        <v>422</v>
      </c>
      <c r="E22" s="31" t="s">
        <v>427</v>
      </c>
      <c r="F22" s="31" t="s">
        <v>0</v>
      </c>
      <c r="G22" s="31" t="s">
        <v>67</v>
      </c>
      <c r="H22" s="31" t="s">
        <v>68</v>
      </c>
      <c r="I22" s="31" t="s">
        <v>368</v>
      </c>
      <c r="J22" s="31" t="s">
        <v>252</v>
      </c>
      <c r="K22" s="31" t="s">
        <v>385</v>
      </c>
      <c r="L22" s="31" t="s">
        <v>253</v>
      </c>
      <c r="M22" s="33">
        <v>1</v>
      </c>
      <c r="N22" s="33">
        <v>0.6</v>
      </c>
    </row>
    <row r="23" spans="1:14" customFormat="1" ht="48" x14ac:dyDescent="0.2">
      <c r="A23" s="35" t="str">
        <f>_xlfn.CONCAT(LEFT(Table1[[#This Row],[Dimension]],1),TEXT(Table1[[#This Row],[Cluster]],"00"),Table1[[#This Row],[Fragecode]])</f>
        <v>M02c</v>
      </c>
      <c r="B23" s="41" t="s">
        <v>121</v>
      </c>
      <c r="C23" s="33">
        <v>2</v>
      </c>
      <c r="D23" s="33" t="s">
        <v>423</v>
      </c>
      <c r="E23" s="31" t="s">
        <v>427</v>
      </c>
      <c r="F23" s="31" t="s">
        <v>0</v>
      </c>
      <c r="G23" s="31" t="s">
        <v>76</v>
      </c>
      <c r="H23" s="31" t="s">
        <v>77</v>
      </c>
      <c r="I23" s="31" t="s">
        <v>353</v>
      </c>
      <c r="J23" s="31" t="s">
        <v>78</v>
      </c>
      <c r="K23" s="31" t="s">
        <v>402</v>
      </c>
      <c r="L23" s="31" t="s">
        <v>254</v>
      </c>
      <c r="M23" s="33">
        <v>1</v>
      </c>
      <c r="N23" s="33">
        <v>0.5</v>
      </c>
    </row>
    <row r="24" spans="1:14" customFormat="1" ht="48" x14ac:dyDescent="0.2">
      <c r="A24" s="35" t="str">
        <f>_xlfn.CONCAT(LEFT(Table1[[#This Row],[Dimension]],1),TEXT(Table1[[#This Row],[Cluster]],"00"),Table1[[#This Row],[Fragecode]])</f>
        <v>M02d</v>
      </c>
      <c r="B24" s="41" t="s">
        <v>121</v>
      </c>
      <c r="C24" s="33">
        <v>2</v>
      </c>
      <c r="D24" s="33" t="s">
        <v>424</v>
      </c>
      <c r="E24" s="31" t="s">
        <v>427</v>
      </c>
      <c r="F24" s="31" t="s">
        <v>0</v>
      </c>
      <c r="G24" s="31" t="s">
        <v>89</v>
      </c>
      <c r="H24" s="31" t="s">
        <v>90</v>
      </c>
      <c r="I24" s="31" t="s">
        <v>370</v>
      </c>
      <c r="J24" s="31" t="s">
        <v>92</v>
      </c>
      <c r="K24" s="31" t="s">
        <v>386</v>
      </c>
      <c r="L24" s="31" t="s">
        <v>91</v>
      </c>
      <c r="M24" s="33">
        <v>1</v>
      </c>
      <c r="N24" s="33">
        <v>0.25</v>
      </c>
    </row>
    <row r="25" spans="1:14" customFormat="1" ht="35" x14ac:dyDescent="0.2">
      <c r="A25" s="35" t="str">
        <f>_xlfn.CONCAT(LEFT(Table1[[#This Row],[Dimension]],1),TEXT(Table1[[#This Row],[Cluster]],"00"),Table1[[#This Row],[Fragecode]])</f>
        <v>M02e</v>
      </c>
      <c r="B25" s="41" t="s">
        <v>121</v>
      </c>
      <c r="C25" s="33">
        <v>2</v>
      </c>
      <c r="D25" s="33" t="s">
        <v>334</v>
      </c>
      <c r="E25" s="31" t="s">
        <v>427</v>
      </c>
      <c r="F25" s="31" t="s">
        <v>16</v>
      </c>
      <c r="G25" s="31" t="s">
        <v>98</v>
      </c>
      <c r="H25" s="31" t="s">
        <v>99</v>
      </c>
      <c r="I25" s="31" t="s">
        <v>354</v>
      </c>
      <c r="J25" s="31" t="s">
        <v>256</v>
      </c>
      <c r="K25" s="31" t="s">
        <v>387</v>
      </c>
      <c r="L25" s="31" t="s">
        <v>257</v>
      </c>
      <c r="M25" s="33">
        <v>1</v>
      </c>
      <c r="N25" s="33">
        <v>0.75</v>
      </c>
    </row>
    <row r="26" spans="1:14" customFormat="1" ht="35" x14ac:dyDescent="0.2">
      <c r="A26" s="35" t="str">
        <f>_xlfn.CONCAT(LEFT(Table1[[#This Row],[Dimension]],1),TEXT(Table1[[#This Row],[Cluster]],"00"),Table1[[#This Row],[Fragecode]])</f>
        <v>M02f</v>
      </c>
      <c r="B26" s="41" t="s">
        <v>121</v>
      </c>
      <c r="C26" s="33">
        <v>2</v>
      </c>
      <c r="D26" s="33" t="s">
        <v>426</v>
      </c>
      <c r="E26" s="31" t="s">
        <v>427</v>
      </c>
      <c r="F26" s="31" t="s">
        <v>16</v>
      </c>
      <c r="G26" s="31" t="s">
        <v>101</v>
      </c>
      <c r="H26" s="31" t="s">
        <v>102</v>
      </c>
      <c r="I26" s="31" t="s">
        <v>371</v>
      </c>
      <c r="J26" s="31" t="s">
        <v>104</v>
      </c>
      <c r="K26" s="31" t="s">
        <v>388</v>
      </c>
      <c r="L26" s="31" t="s">
        <v>103</v>
      </c>
      <c r="M26" s="33">
        <v>1</v>
      </c>
      <c r="N26" s="33">
        <v>0</v>
      </c>
    </row>
    <row r="27" spans="1:14" customFormat="1" ht="35" x14ac:dyDescent="0.2">
      <c r="A27" s="35" t="str">
        <f>_xlfn.CONCAT(LEFT(Table1[[#This Row],[Dimension]],1),TEXT(Table1[[#This Row],[Cluster]],"00"),Table1[[#This Row],[Fragecode]])</f>
        <v>M02g</v>
      </c>
      <c r="B27" s="41" t="s">
        <v>121</v>
      </c>
      <c r="C27" s="33">
        <v>2</v>
      </c>
      <c r="D27" s="33" t="s">
        <v>428</v>
      </c>
      <c r="E27" s="31" t="s">
        <v>427</v>
      </c>
      <c r="F27" s="31" t="s">
        <v>0</v>
      </c>
      <c r="G27" s="31" t="s">
        <v>105</v>
      </c>
      <c r="H27" s="31" t="s">
        <v>106</v>
      </c>
      <c r="I27" s="31" t="s">
        <v>355</v>
      </c>
      <c r="J27" s="31" t="s">
        <v>108</v>
      </c>
      <c r="K27" s="31" t="s">
        <v>403</v>
      </c>
      <c r="L27" s="31" t="s">
        <v>107</v>
      </c>
      <c r="M27" s="33">
        <v>1</v>
      </c>
      <c r="N27" s="33">
        <v>1</v>
      </c>
    </row>
    <row r="28" spans="1:14" ht="64" x14ac:dyDescent="0.2">
      <c r="A28" s="35" t="str">
        <f>_xlfn.CONCAT(LEFT(Table1[[#This Row],[Dimension]],1),TEXT(Table1[[#This Row],[Cluster]],"00"),Table1[[#This Row],[Fragecode]])</f>
        <v>S01a</v>
      </c>
      <c r="B28" s="41" t="s">
        <v>119</v>
      </c>
      <c r="C28" s="33">
        <v>1</v>
      </c>
      <c r="D28" s="33" t="s">
        <v>323</v>
      </c>
      <c r="E28" s="31" t="s">
        <v>8</v>
      </c>
      <c r="F28" s="31" t="s">
        <v>0</v>
      </c>
      <c r="G28" s="31" t="s">
        <v>1</v>
      </c>
      <c r="H28" s="31" t="s">
        <v>2</v>
      </c>
      <c r="I28" s="31" t="s">
        <v>498</v>
      </c>
      <c r="J28" s="31" t="s">
        <v>205</v>
      </c>
      <c r="K28" s="31" t="s">
        <v>324</v>
      </c>
      <c r="L28" s="31" t="s">
        <v>260</v>
      </c>
      <c r="M28" s="33">
        <v>1</v>
      </c>
      <c r="N28" s="33">
        <v>0.3</v>
      </c>
    </row>
    <row r="29" spans="1:14" ht="80" x14ac:dyDescent="0.2">
      <c r="A29" s="35" t="str">
        <f>_xlfn.CONCAT(LEFT(Table1[[#This Row],[Dimension]],1),TEXT(Table1[[#This Row],[Cluster]],"00"),Table1[[#This Row],[Fragecode]])</f>
        <v>S01b</v>
      </c>
      <c r="B29" s="41" t="s">
        <v>119</v>
      </c>
      <c r="C29" s="33">
        <v>1</v>
      </c>
      <c r="D29" s="33" t="s">
        <v>422</v>
      </c>
      <c r="E29" s="31" t="s">
        <v>8</v>
      </c>
      <c r="F29" s="31" t="s">
        <v>0</v>
      </c>
      <c r="G29" s="31" t="s">
        <v>9</v>
      </c>
      <c r="H29" s="31" t="s">
        <v>10</v>
      </c>
      <c r="I29" s="31" t="s">
        <v>326</v>
      </c>
      <c r="J29" s="31" t="s">
        <v>206</v>
      </c>
      <c r="K29" s="31" t="s">
        <v>327</v>
      </c>
      <c r="L29" s="31" t="s">
        <v>208</v>
      </c>
      <c r="M29" s="33">
        <v>2</v>
      </c>
      <c r="N29" s="33">
        <v>0.75</v>
      </c>
    </row>
    <row r="30" spans="1:14" customFormat="1" ht="80" x14ac:dyDescent="0.2">
      <c r="A30" s="35" t="str">
        <f>_xlfn.CONCAT(LEFT(Table1[[#This Row],[Dimension]],1),TEXT(Table1[[#This Row],[Cluster]],"00"),Table1[[#This Row],[Fragecode]])</f>
        <v>S01c</v>
      </c>
      <c r="B30" s="41" t="s">
        <v>119</v>
      </c>
      <c r="C30" s="33">
        <v>1</v>
      </c>
      <c r="D30" s="33" t="s">
        <v>423</v>
      </c>
      <c r="E30" s="31" t="s">
        <v>8</v>
      </c>
      <c r="F30" s="31" t="s">
        <v>0</v>
      </c>
      <c r="G30" s="31" t="s">
        <v>20</v>
      </c>
      <c r="H30" s="31" t="s">
        <v>21</v>
      </c>
      <c r="I30" s="31" t="s">
        <v>328</v>
      </c>
      <c r="J30" s="31" t="s">
        <v>22</v>
      </c>
      <c r="K30" s="31" t="s">
        <v>329</v>
      </c>
      <c r="L30" s="31" t="s">
        <v>211</v>
      </c>
      <c r="M30" s="33">
        <v>1</v>
      </c>
      <c r="N30" s="33">
        <v>0</v>
      </c>
    </row>
    <row r="31" spans="1:14" customFormat="1" ht="64" x14ac:dyDescent="0.2">
      <c r="A31" s="35" t="str">
        <f>_xlfn.CONCAT(LEFT(Table1[[#This Row],[Dimension]],1),TEXT(Table1[[#This Row],[Cluster]],"00"),Table1[[#This Row],[Fragecode]])</f>
        <v>S01d</v>
      </c>
      <c r="B31" s="41" t="s">
        <v>119</v>
      </c>
      <c r="C31" s="33">
        <v>1</v>
      </c>
      <c r="D31" s="33" t="s">
        <v>424</v>
      </c>
      <c r="E31" s="31" t="s">
        <v>8</v>
      </c>
      <c r="F31" s="31" t="s">
        <v>0</v>
      </c>
      <c r="G31" s="31" t="s">
        <v>100</v>
      </c>
      <c r="H31" s="31" t="s">
        <v>220</v>
      </c>
      <c r="I31" s="31" t="s">
        <v>358</v>
      </c>
      <c r="J31" s="31" t="s">
        <v>221</v>
      </c>
      <c r="K31" s="31" t="s">
        <v>373</v>
      </c>
      <c r="L31" s="31" t="s">
        <v>222</v>
      </c>
      <c r="M31" s="33">
        <v>1</v>
      </c>
      <c r="N31" s="33">
        <v>0.8</v>
      </c>
    </row>
    <row r="32" spans="1:14" customFormat="1" ht="64" x14ac:dyDescent="0.2">
      <c r="A32" s="35" t="str">
        <f>_xlfn.CONCAT(LEFT(Table1[[#This Row],[Dimension]],1),TEXT(Table1[[#This Row],[Cluster]],"00"),Table1[[#This Row],[Fragecode]])</f>
        <v>S02a</v>
      </c>
      <c r="B32" s="41" t="s">
        <v>119</v>
      </c>
      <c r="C32" s="33">
        <v>2</v>
      </c>
      <c r="D32" s="33" t="s">
        <v>323</v>
      </c>
      <c r="E32" s="31" t="s">
        <v>55</v>
      </c>
      <c r="F32" s="31" t="s">
        <v>187</v>
      </c>
      <c r="G32" s="31" t="s">
        <v>188</v>
      </c>
      <c r="H32" s="31" t="s">
        <v>189</v>
      </c>
      <c r="I32" s="31" t="s">
        <v>332</v>
      </c>
      <c r="J32" s="31" t="s">
        <v>58</v>
      </c>
      <c r="K32" s="31" t="s">
        <v>333</v>
      </c>
      <c r="L32" s="31" t="s">
        <v>209</v>
      </c>
      <c r="M32" s="33">
        <v>1</v>
      </c>
      <c r="N32" s="33">
        <v>0.5</v>
      </c>
    </row>
    <row r="33" spans="1:14" customFormat="1" ht="48" x14ac:dyDescent="0.2">
      <c r="A33" s="35" t="str">
        <f>_xlfn.CONCAT(LEFT(Table1[[#This Row],[Dimension]],1),TEXT(Table1[[#This Row],[Cluster]],"00"),Table1[[#This Row],[Fragecode]])</f>
        <v>S02b</v>
      </c>
      <c r="B33" s="41" t="s">
        <v>119</v>
      </c>
      <c r="C33" s="33">
        <v>2</v>
      </c>
      <c r="D33" s="33" t="s">
        <v>422</v>
      </c>
      <c r="E33" s="31" t="s">
        <v>55</v>
      </c>
      <c r="F33" s="31" t="s">
        <v>16</v>
      </c>
      <c r="G33" s="31" t="s">
        <v>56</v>
      </c>
      <c r="H33" s="31" t="s">
        <v>57</v>
      </c>
      <c r="I33" s="31" t="s">
        <v>335</v>
      </c>
      <c r="J33" s="31" t="s">
        <v>58</v>
      </c>
      <c r="K33" s="31" t="s">
        <v>405</v>
      </c>
      <c r="L33" s="31" t="s">
        <v>210</v>
      </c>
      <c r="M33" s="33">
        <v>1</v>
      </c>
      <c r="N33" s="33">
        <v>0.5</v>
      </c>
    </row>
    <row r="34" spans="1:14" ht="48" x14ac:dyDescent="0.2">
      <c r="A34" s="35" t="str">
        <f>_xlfn.CONCAT(LEFT(Table1[[#This Row],[Dimension]],1),TEXT(Table1[[#This Row],[Cluster]],"00"),Table1[[#This Row],[Fragecode]])</f>
        <v>S02c</v>
      </c>
      <c r="B34" s="41" t="s">
        <v>119</v>
      </c>
      <c r="C34" s="33">
        <v>2</v>
      </c>
      <c r="D34" s="33" t="s">
        <v>423</v>
      </c>
      <c r="E34" s="31" t="s">
        <v>55</v>
      </c>
      <c r="F34" s="31" t="s">
        <v>16</v>
      </c>
      <c r="G34" s="31" t="s">
        <v>69</v>
      </c>
      <c r="H34" s="31" t="s">
        <v>70</v>
      </c>
      <c r="I34" s="31" t="s">
        <v>336</v>
      </c>
      <c r="J34" s="31" t="s">
        <v>58</v>
      </c>
      <c r="K34" s="31" t="s">
        <v>406</v>
      </c>
      <c r="L34" s="31" t="s">
        <v>212</v>
      </c>
      <c r="M34" s="33">
        <v>1</v>
      </c>
      <c r="N34" s="33">
        <v>0.75</v>
      </c>
    </row>
    <row r="35" spans="1:14" ht="64" x14ac:dyDescent="0.2">
      <c r="A35" s="35" t="str">
        <f>_xlfn.CONCAT(LEFT(Table1[[#This Row],[Dimension]],1),TEXT(Table1[[#This Row],[Cluster]],"00"),Table1[[#This Row],[Fragecode]])</f>
        <v>S02d</v>
      </c>
      <c r="B35" s="41" t="s">
        <v>119</v>
      </c>
      <c r="C35" s="33">
        <v>2</v>
      </c>
      <c r="D35" s="33" t="s">
        <v>424</v>
      </c>
      <c r="E35" s="31" t="s">
        <v>55</v>
      </c>
      <c r="F35" s="31" t="s">
        <v>16</v>
      </c>
      <c r="G35" s="31" t="s">
        <v>215</v>
      </c>
      <c r="H35" s="31" t="s">
        <v>216</v>
      </c>
      <c r="I35" s="31" t="s">
        <v>337</v>
      </c>
      <c r="J35" s="31" t="s">
        <v>213</v>
      </c>
      <c r="K35" s="31" t="s">
        <v>390</v>
      </c>
      <c r="L35" s="31" t="s">
        <v>214</v>
      </c>
      <c r="M35" s="33">
        <v>1</v>
      </c>
      <c r="N35" s="33">
        <v>0.25</v>
      </c>
    </row>
    <row r="36" spans="1:14" ht="48" x14ac:dyDescent="0.2">
      <c r="A36" s="35" t="str">
        <f>_xlfn.CONCAT(LEFT(Table1[[#This Row],[Dimension]],1),TEXT(Table1[[#This Row],[Cluster]],"00"),Table1[[#This Row],[Fragecode]])</f>
        <v>S03a</v>
      </c>
      <c r="B36" s="41" t="s">
        <v>119</v>
      </c>
      <c r="C36" s="33">
        <v>3</v>
      </c>
      <c r="D36" s="33" t="s">
        <v>323</v>
      </c>
      <c r="E36" s="31" t="s">
        <v>425</v>
      </c>
      <c r="F36" s="31" t="s">
        <v>16</v>
      </c>
      <c r="G36" s="31" t="s">
        <v>93</v>
      </c>
      <c r="H36" s="31" t="s">
        <v>94</v>
      </c>
      <c r="I36" s="31" t="s">
        <v>96</v>
      </c>
      <c r="J36" s="31" t="s">
        <v>97</v>
      </c>
      <c r="K36" s="31" t="s">
        <v>410</v>
      </c>
      <c r="L36" s="31" t="s">
        <v>95</v>
      </c>
      <c r="M36" s="33">
        <v>1</v>
      </c>
      <c r="N36" s="33">
        <v>1</v>
      </c>
    </row>
    <row r="37" spans="1:14" ht="48" x14ac:dyDescent="0.2">
      <c r="A37" s="35" t="str">
        <f>_xlfn.CONCAT(LEFT(Table1[[#This Row],[Dimension]],1),TEXT(Table1[[#This Row],[Cluster]],"00"),Table1[[#This Row],[Fragecode]])</f>
        <v>S03b</v>
      </c>
      <c r="B37" s="41" t="s">
        <v>119</v>
      </c>
      <c r="C37" s="33">
        <v>3</v>
      </c>
      <c r="D37" s="33" t="s">
        <v>422</v>
      </c>
      <c r="E37" s="31" t="s">
        <v>425</v>
      </c>
      <c r="F37" s="31"/>
      <c r="G37" s="31" t="s">
        <v>277</v>
      </c>
      <c r="H37" s="31"/>
      <c r="I37" s="31" t="s">
        <v>339</v>
      </c>
      <c r="J37" s="31" t="s">
        <v>278</v>
      </c>
      <c r="K37" s="31" t="s">
        <v>391</v>
      </c>
      <c r="L37" s="31" t="s">
        <v>279</v>
      </c>
      <c r="M37" s="33">
        <v>1</v>
      </c>
      <c r="N37" s="33">
        <v>0.7</v>
      </c>
    </row>
    <row r="38" spans="1:14" customFormat="1" ht="48" x14ac:dyDescent="0.2">
      <c r="A38" s="35" t="str">
        <f>_xlfn.CONCAT(LEFT(Table1[[#This Row],[Dimension]],1),TEXT(Table1[[#This Row],[Cluster]],"00"),Table1[[#This Row],[Fragecode]])</f>
        <v>S03c</v>
      </c>
      <c r="B38" s="41" t="s">
        <v>119</v>
      </c>
      <c r="C38" s="33">
        <v>3</v>
      </c>
      <c r="D38" s="33" t="s">
        <v>423</v>
      </c>
      <c r="E38" s="31" t="s">
        <v>425</v>
      </c>
      <c r="F38" s="31" t="s">
        <v>0</v>
      </c>
      <c r="G38" s="31" t="s">
        <v>30</v>
      </c>
      <c r="H38" s="31" t="s">
        <v>31</v>
      </c>
      <c r="I38" s="31" t="s">
        <v>330</v>
      </c>
      <c r="J38" s="31" t="s">
        <v>32</v>
      </c>
      <c r="K38" s="31" t="s">
        <v>331</v>
      </c>
      <c r="L38" s="31" t="s">
        <v>207</v>
      </c>
      <c r="M38" s="33">
        <v>1</v>
      </c>
      <c r="N38" s="33">
        <v>0</v>
      </c>
    </row>
    <row r="39" spans="1:14" customFormat="1" ht="96" x14ac:dyDescent="0.2">
      <c r="A39" s="35" t="str">
        <f>_xlfn.CONCAT(LEFT(Table1[[#This Row],[Dimension]],1),TEXT(Table1[[#This Row],[Cluster]],"00"),Table1[[#This Row],[Fragecode]])</f>
        <v>S03d</v>
      </c>
      <c r="B39" s="41" t="s">
        <v>119</v>
      </c>
      <c r="C39" s="33">
        <v>3</v>
      </c>
      <c r="D39" s="33" t="s">
        <v>424</v>
      </c>
      <c r="E39" s="31" t="s">
        <v>425</v>
      </c>
      <c r="F39" s="31" t="s">
        <v>0</v>
      </c>
      <c r="G39" s="31" t="s">
        <v>88</v>
      </c>
      <c r="H39" s="31" t="s">
        <v>217</v>
      </c>
      <c r="I39" s="31" t="s">
        <v>357</v>
      </c>
      <c r="J39" s="31" t="s">
        <v>219</v>
      </c>
      <c r="K39" s="31" t="s">
        <v>409</v>
      </c>
      <c r="L39" s="31" t="s">
        <v>218</v>
      </c>
      <c r="M39" s="33">
        <v>1</v>
      </c>
      <c r="N39" s="33">
        <v>0.4</v>
      </c>
    </row>
    <row r="40" spans="1:14" ht="48" x14ac:dyDescent="0.2">
      <c r="A40" s="35" t="str">
        <f>_xlfn.CONCAT(LEFT(Table1[[#This Row],[Dimension]],1),TEXT(Table1[[#This Row],[Cluster]],"00"),Table1[[#This Row],[Fragecode]])</f>
        <v>S03e</v>
      </c>
      <c r="B40" s="41" t="s">
        <v>119</v>
      </c>
      <c r="C40" s="33">
        <v>3</v>
      </c>
      <c r="D40" s="33" t="s">
        <v>334</v>
      </c>
      <c r="E40" s="31" t="s">
        <v>425</v>
      </c>
      <c r="F40" s="31"/>
      <c r="G40" s="31" t="s">
        <v>271</v>
      </c>
      <c r="H40" s="31"/>
      <c r="I40" s="31" t="s">
        <v>359</v>
      </c>
      <c r="J40" s="31" t="s">
        <v>272</v>
      </c>
      <c r="K40" s="31" t="s">
        <v>374</v>
      </c>
      <c r="L40" s="31" t="s">
        <v>273</v>
      </c>
      <c r="M40" s="33">
        <v>1</v>
      </c>
      <c r="N40" s="33">
        <v>0.8</v>
      </c>
    </row>
    <row r="41" spans="1:14" ht="48" x14ac:dyDescent="0.2">
      <c r="A41" s="35" t="str">
        <f>_xlfn.CONCAT(LEFT(Table1[[#This Row],[Dimension]],1),TEXT(Table1[[#This Row],[Cluster]],"00"),Table1[[#This Row],[Fragecode]])</f>
        <v>S03f</v>
      </c>
      <c r="B41" s="41" t="s">
        <v>119</v>
      </c>
      <c r="C41" s="33">
        <v>3</v>
      </c>
      <c r="D41" s="33" t="s">
        <v>426</v>
      </c>
      <c r="E41" s="31" t="s">
        <v>425</v>
      </c>
      <c r="F41" s="31"/>
      <c r="G41" s="31" t="s">
        <v>274</v>
      </c>
      <c r="H41" s="31"/>
      <c r="I41" s="31" t="s">
        <v>338</v>
      </c>
      <c r="J41" s="31" t="s">
        <v>275</v>
      </c>
      <c r="K41" s="31" t="s">
        <v>375</v>
      </c>
      <c r="L41" s="31" t="s">
        <v>276</v>
      </c>
      <c r="M41" s="33">
        <v>1</v>
      </c>
      <c r="N41" s="33">
        <v>1</v>
      </c>
    </row>
    <row r="42" spans="1:14" ht="64" x14ac:dyDescent="0.2">
      <c r="A42" s="35" t="str">
        <f>_xlfn.CONCAT(LEFT(Table1[[#This Row],[Dimension]],1),TEXT(Table1[[#This Row],[Cluster]],"00"),Table1[[#This Row],[Fragecode]])</f>
        <v>T01a</v>
      </c>
      <c r="B42" s="41" t="s">
        <v>116</v>
      </c>
      <c r="C42" s="33">
        <v>1</v>
      </c>
      <c r="D42" s="33" t="s">
        <v>323</v>
      </c>
      <c r="E42" s="31" t="s">
        <v>429</v>
      </c>
      <c r="F42" s="31" t="s">
        <v>0</v>
      </c>
      <c r="G42" s="31" t="s">
        <v>227</v>
      </c>
      <c r="H42" s="31" t="s">
        <v>228</v>
      </c>
      <c r="I42" s="31" t="s">
        <v>361</v>
      </c>
      <c r="J42" s="31" t="s">
        <v>229</v>
      </c>
      <c r="K42" s="31" t="s">
        <v>421</v>
      </c>
      <c r="L42" s="31" t="s">
        <v>230</v>
      </c>
      <c r="M42" s="33">
        <v>1</v>
      </c>
      <c r="N42" s="33">
        <v>0.8</v>
      </c>
    </row>
    <row r="43" spans="1:14" ht="80" x14ac:dyDescent="0.2">
      <c r="A43" s="35" t="str">
        <f>_xlfn.CONCAT(LEFT(Table1[[#This Row],[Dimension]],1),TEXT(Table1[[#This Row],[Cluster]],"00"),Table1[[#This Row],[Fragecode]])</f>
        <v>T01b</v>
      </c>
      <c r="B43" s="41" t="s">
        <v>116</v>
      </c>
      <c r="C43" s="33">
        <v>1</v>
      </c>
      <c r="D43" s="33" t="s">
        <v>422</v>
      </c>
      <c r="E43" s="31" t="s">
        <v>429</v>
      </c>
      <c r="F43" s="31" t="s">
        <v>0</v>
      </c>
      <c r="G43" s="31" t="s">
        <v>223</v>
      </c>
      <c r="H43" s="31" t="s">
        <v>224</v>
      </c>
      <c r="I43" s="31" t="s">
        <v>360</v>
      </c>
      <c r="J43" s="31" t="s">
        <v>225</v>
      </c>
      <c r="K43" s="31" t="s">
        <v>376</v>
      </c>
      <c r="L43" s="31" t="s">
        <v>226</v>
      </c>
      <c r="M43" s="33">
        <v>1</v>
      </c>
      <c r="N43" s="33">
        <v>1</v>
      </c>
    </row>
    <row r="44" spans="1:14" ht="80" x14ac:dyDescent="0.2">
      <c r="A44" s="35" t="str">
        <f>_xlfn.CONCAT(LEFT(Table1[[#This Row],[Dimension]],1),TEXT(Table1[[#This Row],[Cluster]],"00"),Table1[[#This Row],[Fragecode]])</f>
        <v>T01c</v>
      </c>
      <c r="B44" s="41" t="s">
        <v>116</v>
      </c>
      <c r="C44" s="33">
        <v>1</v>
      </c>
      <c r="D44" s="33" t="s">
        <v>423</v>
      </c>
      <c r="E44" s="31" t="s">
        <v>429</v>
      </c>
      <c r="F44" s="31" t="s">
        <v>16</v>
      </c>
      <c r="G44" s="31" t="s">
        <v>232</v>
      </c>
      <c r="H44" s="31" t="s">
        <v>231</v>
      </c>
      <c r="I44" s="31" t="s">
        <v>412</v>
      </c>
      <c r="J44" s="31" t="s">
        <v>23</v>
      </c>
      <c r="K44" s="31" t="s">
        <v>392</v>
      </c>
      <c r="L44" s="31" t="s">
        <v>233</v>
      </c>
      <c r="M44" s="33">
        <v>1</v>
      </c>
      <c r="N44" s="33">
        <v>1</v>
      </c>
    </row>
    <row r="45" spans="1:14" ht="32" x14ac:dyDescent="0.2">
      <c r="A45" s="35" t="str">
        <f>_xlfn.CONCAT(LEFT(Table1[[#This Row],[Dimension]],1),TEXT(Table1[[#This Row],[Cluster]],"00"),Table1[[#This Row],[Fragecode]])</f>
        <v>T02a</v>
      </c>
      <c r="B45" s="41" t="s">
        <v>116</v>
      </c>
      <c r="C45" s="33">
        <v>2</v>
      </c>
      <c r="D45" s="33" t="s">
        <v>323</v>
      </c>
      <c r="E45" s="31" t="s">
        <v>33</v>
      </c>
      <c r="F45" s="31" t="s">
        <v>0</v>
      </c>
      <c r="G45" s="31" t="s">
        <v>34</v>
      </c>
      <c r="H45" s="31" t="s">
        <v>35</v>
      </c>
      <c r="I45" s="31" t="s">
        <v>340</v>
      </c>
      <c r="J45" s="31" t="s">
        <v>36</v>
      </c>
      <c r="K45" s="31" t="s">
        <v>407</v>
      </c>
      <c r="L45" s="31" t="s">
        <v>234</v>
      </c>
      <c r="M45" s="33">
        <v>1</v>
      </c>
      <c r="N45" s="33">
        <v>0.75</v>
      </c>
    </row>
    <row r="46" spans="1:14" ht="80" x14ac:dyDescent="0.2">
      <c r="A46" s="35" t="str">
        <f>_xlfn.CONCAT(LEFT(Table1[[#This Row],[Dimension]],1),TEXT(Table1[[#This Row],[Cluster]],"00"),Table1[[#This Row],[Fragecode]])</f>
        <v>T02b</v>
      </c>
      <c r="B46" s="41" t="s">
        <v>116</v>
      </c>
      <c r="C46" s="33">
        <v>2</v>
      </c>
      <c r="D46" s="33" t="s">
        <v>422</v>
      </c>
      <c r="E46" s="31" t="s">
        <v>33</v>
      </c>
      <c r="F46" s="31" t="s">
        <v>0</v>
      </c>
      <c r="G46" s="31" t="s">
        <v>44</v>
      </c>
      <c r="H46" s="31" t="s">
        <v>45</v>
      </c>
      <c r="I46" s="31" t="s">
        <v>341</v>
      </c>
      <c r="J46" s="31" t="s">
        <v>46</v>
      </c>
      <c r="K46" s="31" t="s">
        <v>393</v>
      </c>
      <c r="L46" s="31" t="s">
        <v>235</v>
      </c>
      <c r="M46" s="33">
        <v>1</v>
      </c>
      <c r="N46" s="33">
        <v>0.85</v>
      </c>
    </row>
    <row r="47" spans="1:14" ht="48" x14ac:dyDescent="0.2">
      <c r="A47" s="35" t="str">
        <f>_xlfn.CONCAT(LEFT(Table1[[#This Row],[Dimension]],1),TEXT(Table1[[#This Row],[Cluster]],"00"),Table1[[#This Row],[Fragecode]])</f>
        <v>T03a</v>
      </c>
      <c r="B47" s="41" t="s">
        <v>116</v>
      </c>
      <c r="C47" s="33">
        <v>3</v>
      </c>
      <c r="D47" s="33" t="s">
        <v>323</v>
      </c>
      <c r="E47" s="31" t="s">
        <v>430</v>
      </c>
      <c r="F47" s="31" t="s">
        <v>0</v>
      </c>
      <c r="G47" s="31" t="s">
        <v>59</v>
      </c>
      <c r="H47" s="31" t="s">
        <v>60</v>
      </c>
      <c r="I47" s="31" t="s">
        <v>342</v>
      </c>
      <c r="J47" s="31" t="s">
        <v>61</v>
      </c>
      <c r="K47" s="31" t="s">
        <v>394</v>
      </c>
      <c r="L47" s="31" t="s">
        <v>236</v>
      </c>
      <c r="M47" s="33">
        <v>1</v>
      </c>
      <c r="N47" s="33">
        <v>0.85</v>
      </c>
    </row>
    <row r="48" spans="1:14" ht="48" x14ac:dyDescent="0.2">
      <c r="A48" s="35" t="str">
        <f>_xlfn.CONCAT(LEFT(Table1[[#This Row],[Dimension]],1),TEXT(Table1[[#This Row],[Cluster]],"00"),Table1[[#This Row],[Fragecode]])</f>
        <v>T03b</v>
      </c>
      <c r="B48" s="41" t="s">
        <v>116</v>
      </c>
      <c r="C48" s="33">
        <v>3</v>
      </c>
      <c r="D48" s="33" t="s">
        <v>422</v>
      </c>
      <c r="E48" s="31" t="s">
        <v>430</v>
      </c>
      <c r="F48" s="31" t="s">
        <v>0</v>
      </c>
      <c r="G48" s="31" t="s">
        <v>71</v>
      </c>
      <c r="H48" s="31" t="s">
        <v>72</v>
      </c>
      <c r="I48" s="31" t="s">
        <v>343</v>
      </c>
      <c r="J48" s="31" t="s">
        <v>74</v>
      </c>
      <c r="K48" s="31" t="s">
        <v>408</v>
      </c>
      <c r="L48" s="31" t="s">
        <v>73</v>
      </c>
      <c r="M48" s="33">
        <v>1</v>
      </c>
      <c r="N48" s="33">
        <v>0.85</v>
      </c>
    </row>
    <row r="49" spans="1:14" ht="48" x14ac:dyDescent="0.2">
      <c r="A49" s="35" t="str">
        <f>_xlfn.CONCAT(LEFT(Table1[[#This Row],[Dimension]],1),TEXT(Table1[[#This Row],[Cluster]],"00"),Table1[[#This Row],[Fragecode]])</f>
        <v>T03c</v>
      </c>
      <c r="B49" s="41" t="s">
        <v>116</v>
      </c>
      <c r="C49" s="33">
        <v>3</v>
      </c>
      <c r="D49" s="33" t="s">
        <v>423</v>
      </c>
      <c r="E49" s="31" t="s">
        <v>430</v>
      </c>
      <c r="F49" s="31" t="s">
        <v>0</v>
      </c>
      <c r="G49" s="31" t="s">
        <v>79</v>
      </c>
      <c r="H49" s="31" t="s">
        <v>80</v>
      </c>
      <c r="I49" s="31" t="s">
        <v>344</v>
      </c>
      <c r="J49" s="31" t="s">
        <v>82</v>
      </c>
      <c r="K49" s="31" t="s">
        <v>377</v>
      </c>
      <c r="L49" s="31" t="s">
        <v>81</v>
      </c>
      <c r="M49" s="33">
        <v>1</v>
      </c>
      <c r="N49" s="33">
        <v>0.5</v>
      </c>
    </row>
    <row r="50" spans="1:14" ht="96" x14ac:dyDescent="0.2">
      <c r="A50" s="35" t="str">
        <f>_xlfn.CONCAT(LEFT(Table1[[#This Row],[Dimension]],1),TEXT(Table1[[#This Row],[Cluster]],"00"),Table1[[#This Row],[Fragecode]])</f>
        <v>T03d</v>
      </c>
      <c r="B50" s="41" t="s">
        <v>116</v>
      </c>
      <c r="C50" s="33">
        <v>3</v>
      </c>
      <c r="D50" s="33" t="s">
        <v>424</v>
      </c>
      <c r="E50" s="31" t="s">
        <v>430</v>
      </c>
      <c r="F50" s="31"/>
      <c r="G50" s="31" t="s">
        <v>280</v>
      </c>
      <c r="H50" s="31"/>
      <c r="I50" s="31" t="s">
        <v>345</v>
      </c>
      <c r="J50" s="31" t="s">
        <v>282</v>
      </c>
      <c r="K50" s="31" t="s">
        <v>395</v>
      </c>
      <c r="L50" s="31" t="s">
        <v>284</v>
      </c>
      <c r="M50" s="33">
        <v>1</v>
      </c>
      <c r="N50" s="33">
        <v>0.9</v>
      </c>
    </row>
  </sheetData>
  <sheetProtection sheet="1"/>
  <phoneticPr fontId="25" type="noConversion"/>
  <pageMargins left="0.7" right="0.7" top="0.78740157499999996" bottom="0.78740157499999996"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E6D05-6E8A-4C94-8C8A-5E05DCCB4293}">
  <dimension ref="A2:J19"/>
  <sheetViews>
    <sheetView zoomScale="115" workbookViewId="0">
      <selection activeCell="I5" sqref="I5"/>
    </sheetView>
  </sheetViews>
  <sheetFormatPr baseColWidth="10" defaultRowHeight="15" x14ac:dyDescent="0.2"/>
  <cols>
    <col min="1" max="1" width="5.1640625" customWidth="1"/>
    <col min="2" max="2" width="15.5" customWidth="1"/>
    <col min="3" max="3" width="36.1640625" customWidth="1"/>
    <col min="4" max="4" width="9.83203125" bestFit="1" customWidth="1"/>
    <col min="5" max="5" width="7.1640625" bestFit="1" customWidth="1"/>
    <col min="6" max="6" width="12.1640625" bestFit="1" customWidth="1"/>
    <col min="7" max="7" width="7.1640625" bestFit="1" customWidth="1"/>
    <col min="8" max="8" width="77.83203125" customWidth="1"/>
    <col min="9" max="9" width="45.83203125" customWidth="1"/>
    <col min="10" max="10" width="16.33203125" customWidth="1"/>
  </cols>
  <sheetData>
    <row r="2" spans="1:10" ht="16" thickBot="1" x14ac:dyDescent="0.25"/>
    <row r="3" spans="1:10" ht="68" customHeight="1" thickBot="1" x14ac:dyDescent="0.25">
      <c r="A3" s="4" t="s">
        <v>112</v>
      </c>
      <c r="B3" s="4" t="s">
        <v>123</v>
      </c>
      <c r="C3" s="4" t="s">
        <v>124</v>
      </c>
      <c r="D3" s="4" t="s">
        <v>119</v>
      </c>
      <c r="E3" s="4" t="s">
        <v>116</v>
      </c>
      <c r="F3" s="4" t="s">
        <v>120</v>
      </c>
      <c r="G3" s="4" t="s">
        <v>121</v>
      </c>
      <c r="H3" s="4" t="s">
        <v>125</v>
      </c>
      <c r="I3" s="4" t="s">
        <v>303</v>
      </c>
      <c r="J3" s="4" t="s">
        <v>516</v>
      </c>
    </row>
    <row r="4" spans="1:10" ht="32" customHeight="1" x14ac:dyDescent="0.2">
      <c r="A4" s="24">
        <f>16-G4-F4*2-E4*4-D4*8</f>
        <v>1</v>
      </c>
      <c r="B4" s="5" t="s">
        <v>126</v>
      </c>
      <c r="C4" s="6" t="s">
        <v>127</v>
      </c>
      <c r="D4" s="14">
        <v>1</v>
      </c>
      <c r="E4" s="15">
        <v>1</v>
      </c>
      <c r="F4" s="15">
        <v>1</v>
      </c>
      <c r="G4" s="16">
        <v>1</v>
      </c>
      <c r="H4" s="11" t="s">
        <v>304</v>
      </c>
      <c r="I4" s="11" t="s">
        <v>171</v>
      </c>
      <c r="J4" s="11" t="s">
        <v>128</v>
      </c>
    </row>
    <row r="5" spans="1:10" ht="48" customHeight="1" x14ac:dyDescent="0.2">
      <c r="A5" s="24">
        <f t="shared" ref="A5:A19" si="0">16-G5-F5*2-E5*4-D5*8</f>
        <v>2</v>
      </c>
      <c r="B5" s="7" t="s">
        <v>316</v>
      </c>
      <c r="C5" s="8" t="s">
        <v>129</v>
      </c>
      <c r="D5" s="17">
        <v>1</v>
      </c>
      <c r="E5" s="18">
        <v>1</v>
      </c>
      <c r="F5" s="18">
        <v>1</v>
      </c>
      <c r="G5" s="19">
        <v>0</v>
      </c>
      <c r="H5" s="12" t="s">
        <v>305</v>
      </c>
      <c r="I5" s="12" t="s">
        <v>518</v>
      </c>
      <c r="J5" s="12" t="s">
        <v>150</v>
      </c>
    </row>
    <row r="6" spans="1:10" ht="48" customHeight="1" x14ac:dyDescent="0.2">
      <c r="A6" s="24">
        <f t="shared" si="0"/>
        <v>3</v>
      </c>
      <c r="B6" s="7" t="s">
        <v>317</v>
      </c>
      <c r="C6" s="8" t="s">
        <v>130</v>
      </c>
      <c r="D6" s="17">
        <v>1</v>
      </c>
      <c r="E6" s="18">
        <v>1</v>
      </c>
      <c r="F6" s="18">
        <v>0</v>
      </c>
      <c r="G6" s="19">
        <v>1</v>
      </c>
      <c r="H6" s="12" t="s">
        <v>471</v>
      </c>
      <c r="I6" s="12" t="s">
        <v>172</v>
      </c>
      <c r="J6" s="12" t="s">
        <v>479</v>
      </c>
    </row>
    <row r="7" spans="1:10" ht="48" customHeight="1" x14ac:dyDescent="0.2">
      <c r="A7" s="24">
        <f t="shared" si="0"/>
        <v>4</v>
      </c>
      <c r="B7" s="7" t="s">
        <v>312</v>
      </c>
      <c r="C7" s="8" t="s">
        <v>131</v>
      </c>
      <c r="D7" s="17">
        <v>1</v>
      </c>
      <c r="E7" s="18">
        <v>1</v>
      </c>
      <c r="F7" s="18">
        <v>0</v>
      </c>
      <c r="G7" s="19">
        <v>0</v>
      </c>
      <c r="H7" s="12" t="s">
        <v>472</v>
      </c>
      <c r="I7" s="12" t="s">
        <v>173</v>
      </c>
      <c r="J7" s="12" t="s">
        <v>150</v>
      </c>
    </row>
    <row r="8" spans="1:10" ht="32" customHeight="1" x14ac:dyDescent="0.2">
      <c r="A8" s="24">
        <f t="shared" si="0"/>
        <v>5</v>
      </c>
      <c r="B8" s="7" t="s">
        <v>318</v>
      </c>
      <c r="C8" s="8" t="s">
        <v>132</v>
      </c>
      <c r="D8" s="17">
        <v>1</v>
      </c>
      <c r="E8" s="18">
        <v>0</v>
      </c>
      <c r="F8" s="18">
        <v>1</v>
      </c>
      <c r="G8" s="19">
        <v>1</v>
      </c>
      <c r="H8" s="12" t="s">
        <v>473</v>
      </c>
      <c r="I8" s="12" t="s">
        <v>174</v>
      </c>
      <c r="J8" s="12" t="s">
        <v>161</v>
      </c>
    </row>
    <row r="9" spans="1:10" ht="112" customHeight="1" x14ac:dyDescent="0.2">
      <c r="A9" s="24">
        <f t="shared" si="0"/>
        <v>6</v>
      </c>
      <c r="B9" s="7" t="s">
        <v>320</v>
      </c>
      <c r="C9" s="8" t="s">
        <v>133</v>
      </c>
      <c r="D9" s="17">
        <v>1</v>
      </c>
      <c r="E9" s="18">
        <v>0</v>
      </c>
      <c r="F9" s="18">
        <v>1</v>
      </c>
      <c r="G9" s="19">
        <v>0</v>
      </c>
      <c r="H9" s="12" t="s">
        <v>474</v>
      </c>
      <c r="I9" s="12" t="s">
        <v>517</v>
      </c>
      <c r="J9" s="12" t="s">
        <v>150</v>
      </c>
    </row>
    <row r="10" spans="1:10" ht="48" customHeight="1" x14ac:dyDescent="0.2">
      <c r="A10" s="24">
        <f t="shared" si="0"/>
        <v>7</v>
      </c>
      <c r="B10" s="7" t="s">
        <v>313</v>
      </c>
      <c r="C10" s="8" t="s">
        <v>134</v>
      </c>
      <c r="D10" s="17">
        <v>1</v>
      </c>
      <c r="E10" s="18">
        <v>0</v>
      </c>
      <c r="F10" s="18">
        <v>0</v>
      </c>
      <c r="G10" s="19">
        <v>1</v>
      </c>
      <c r="H10" s="12" t="s">
        <v>475</v>
      </c>
      <c r="I10" s="12" t="s">
        <v>259</v>
      </c>
      <c r="J10" s="12" t="s">
        <v>479</v>
      </c>
    </row>
    <row r="11" spans="1:10" ht="64" x14ac:dyDescent="0.2">
      <c r="A11" s="24">
        <f t="shared" si="0"/>
        <v>8</v>
      </c>
      <c r="B11" s="7" t="s">
        <v>308</v>
      </c>
      <c r="C11" s="8" t="s">
        <v>135</v>
      </c>
      <c r="D11" s="17">
        <v>1</v>
      </c>
      <c r="E11" s="18">
        <v>0</v>
      </c>
      <c r="F11" s="18">
        <v>0</v>
      </c>
      <c r="G11" s="19">
        <v>0</v>
      </c>
      <c r="H11" s="12" t="s">
        <v>476</v>
      </c>
      <c r="I11" s="12" t="s">
        <v>175</v>
      </c>
      <c r="J11" s="12" t="s">
        <v>150</v>
      </c>
    </row>
    <row r="12" spans="1:10" ht="48" customHeight="1" x14ac:dyDescent="0.2">
      <c r="A12" s="24">
        <f t="shared" si="0"/>
        <v>9</v>
      </c>
      <c r="B12" s="7" t="s">
        <v>319</v>
      </c>
      <c r="C12" s="8" t="s">
        <v>136</v>
      </c>
      <c r="D12" s="17">
        <v>0</v>
      </c>
      <c r="E12" s="18">
        <v>1</v>
      </c>
      <c r="F12" s="18">
        <v>1</v>
      </c>
      <c r="G12" s="19">
        <v>1</v>
      </c>
      <c r="H12" s="12" t="s">
        <v>477</v>
      </c>
      <c r="I12" s="12" t="s">
        <v>485</v>
      </c>
      <c r="J12" s="12" t="s">
        <v>152</v>
      </c>
    </row>
    <row r="13" spans="1:10" ht="48" customHeight="1" x14ac:dyDescent="0.2">
      <c r="A13" s="24">
        <f t="shared" si="0"/>
        <v>10</v>
      </c>
      <c r="B13" s="7" t="s">
        <v>310</v>
      </c>
      <c r="C13" s="8" t="s">
        <v>137</v>
      </c>
      <c r="D13" s="17">
        <v>0</v>
      </c>
      <c r="E13" s="18">
        <v>1</v>
      </c>
      <c r="F13" s="18">
        <v>1</v>
      </c>
      <c r="G13" s="19">
        <v>0</v>
      </c>
      <c r="H13" s="12" t="s">
        <v>478</v>
      </c>
      <c r="I13" s="12" t="s">
        <v>176</v>
      </c>
      <c r="J13" s="12" t="s">
        <v>150</v>
      </c>
    </row>
    <row r="14" spans="1:10" ht="48" customHeight="1" x14ac:dyDescent="0.2">
      <c r="A14" s="24">
        <f t="shared" si="0"/>
        <v>11</v>
      </c>
      <c r="B14" s="7" t="s">
        <v>315</v>
      </c>
      <c r="C14" s="8" t="s">
        <v>138</v>
      </c>
      <c r="D14" s="17">
        <v>0</v>
      </c>
      <c r="E14" s="18">
        <v>1</v>
      </c>
      <c r="F14" s="18">
        <v>0</v>
      </c>
      <c r="G14" s="19">
        <v>1</v>
      </c>
      <c r="H14" s="12" t="s">
        <v>482</v>
      </c>
      <c r="I14" s="12" t="s">
        <v>177</v>
      </c>
      <c r="J14" s="12" t="s">
        <v>479</v>
      </c>
    </row>
    <row r="15" spans="1:10" ht="48" customHeight="1" x14ac:dyDescent="0.2">
      <c r="A15" s="24">
        <f t="shared" si="0"/>
        <v>12</v>
      </c>
      <c r="B15" s="7" t="s">
        <v>311</v>
      </c>
      <c r="C15" s="8" t="s">
        <v>139</v>
      </c>
      <c r="D15" s="17">
        <v>0</v>
      </c>
      <c r="E15" s="18">
        <v>1</v>
      </c>
      <c r="F15" s="18">
        <v>0</v>
      </c>
      <c r="G15" s="19">
        <v>0</v>
      </c>
      <c r="H15" s="12" t="s">
        <v>480</v>
      </c>
      <c r="I15" s="12" t="s">
        <v>179</v>
      </c>
      <c r="J15" s="12" t="s">
        <v>150</v>
      </c>
    </row>
    <row r="16" spans="1:10" ht="48" customHeight="1" x14ac:dyDescent="0.2">
      <c r="A16" s="24">
        <f t="shared" si="0"/>
        <v>13</v>
      </c>
      <c r="B16" s="7" t="s">
        <v>314</v>
      </c>
      <c r="C16" s="8" t="s">
        <v>140</v>
      </c>
      <c r="D16" s="17">
        <v>0</v>
      </c>
      <c r="E16" s="18">
        <v>0</v>
      </c>
      <c r="F16" s="18">
        <v>1</v>
      </c>
      <c r="G16" s="19">
        <v>1</v>
      </c>
      <c r="H16" s="12" t="s">
        <v>481</v>
      </c>
      <c r="I16" s="12" t="s">
        <v>180</v>
      </c>
      <c r="J16" s="12" t="s">
        <v>161</v>
      </c>
    </row>
    <row r="17" spans="1:10" ht="48" customHeight="1" x14ac:dyDescent="0.2">
      <c r="A17" s="24">
        <f t="shared" si="0"/>
        <v>14</v>
      </c>
      <c r="B17" s="7" t="s">
        <v>309</v>
      </c>
      <c r="C17" s="8" t="s">
        <v>141</v>
      </c>
      <c r="D17" s="17">
        <v>0</v>
      </c>
      <c r="E17" s="18">
        <v>0</v>
      </c>
      <c r="F17" s="18">
        <v>1</v>
      </c>
      <c r="G17" s="19">
        <v>0</v>
      </c>
      <c r="H17" s="12" t="s">
        <v>483</v>
      </c>
      <c r="I17" s="12" t="s">
        <v>181</v>
      </c>
      <c r="J17" s="12" t="s">
        <v>161</v>
      </c>
    </row>
    <row r="18" spans="1:10" ht="80" customHeight="1" x14ac:dyDescent="0.2">
      <c r="A18" s="24">
        <f t="shared" si="0"/>
        <v>15</v>
      </c>
      <c r="B18" s="7" t="s">
        <v>301</v>
      </c>
      <c r="C18" s="8" t="s">
        <v>142</v>
      </c>
      <c r="D18" s="17">
        <v>0</v>
      </c>
      <c r="E18" s="18">
        <v>0</v>
      </c>
      <c r="F18" s="18">
        <v>0</v>
      </c>
      <c r="G18" s="19">
        <v>1</v>
      </c>
      <c r="H18" s="12" t="s">
        <v>484</v>
      </c>
      <c r="I18" s="12" t="s">
        <v>182</v>
      </c>
      <c r="J18" s="12" t="s">
        <v>479</v>
      </c>
    </row>
    <row r="19" spans="1:10" ht="33" customHeight="1" thickBot="1" x14ac:dyDescent="0.25">
      <c r="A19" s="24">
        <f t="shared" si="0"/>
        <v>16</v>
      </c>
      <c r="B19" s="9" t="s">
        <v>143</v>
      </c>
      <c r="C19" s="10" t="s">
        <v>144</v>
      </c>
      <c r="D19" s="20">
        <v>0</v>
      </c>
      <c r="E19" s="21">
        <v>0</v>
      </c>
      <c r="F19" s="21">
        <v>0</v>
      </c>
      <c r="G19" s="22">
        <v>0</v>
      </c>
      <c r="H19" s="13" t="s">
        <v>306</v>
      </c>
      <c r="I19" s="13" t="s">
        <v>183</v>
      </c>
      <c r="J19" s="13" t="s">
        <v>145</v>
      </c>
    </row>
  </sheetData>
  <sheetProtection sheet="1"/>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54A5A-7FE5-1249-94E5-959B277B7974}">
  <dimension ref="A1:C17"/>
  <sheetViews>
    <sheetView workbookViewId="0">
      <selection activeCell="C5" sqref="C5"/>
    </sheetView>
  </sheetViews>
  <sheetFormatPr baseColWidth="10" defaultRowHeight="15" x14ac:dyDescent="0.2"/>
  <cols>
    <col min="1" max="1" width="3.1640625" bestFit="1" customWidth="1"/>
    <col min="2" max="2" width="44.33203125" style="28" bestFit="1" customWidth="1"/>
    <col min="3" max="3" width="86.5" customWidth="1"/>
  </cols>
  <sheetData>
    <row r="1" spans="1:3" ht="18" thickBot="1" x14ac:dyDescent="0.25">
      <c r="A1" s="23" t="s">
        <v>112</v>
      </c>
      <c r="B1" s="3" t="s">
        <v>149</v>
      </c>
      <c r="C1" s="3" t="s">
        <v>115</v>
      </c>
    </row>
    <row r="2" spans="1:3" ht="64" x14ac:dyDescent="0.2">
      <c r="A2" s="24">
        <v>1</v>
      </c>
      <c r="B2" s="5" t="s">
        <v>128</v>
      </c>
      <c r="C2" s="11" t="s">
        <v>204</v>
      </c>
    </row>
    <row r="3" spans="1:3" ht="32" x14ac:dyDescent="0.2">
      <c r="A3" s="24">
        <v>2</v>
      </c>
      <c r="B3" s="7" t="s">
        <v>150</v>
      </c>
      <c r="C3" s="12" t="s">
        <v>151</v>
      </c>
    </row>
    <row r="4" spans="1:3" ht="80" x14ac:dyDescent="0.2">
      <c r="A4" s="24">
        <v>3</v>
      </c>
      <c r="B4" s="7" t="s">
        <v>515</v>
      </c>
      <c r="C4" s="12" t="s">
        <v>168</v>
      </c>
    </row>
    <row r="5" spans="1:3" ht="80" x14ac:dyDescent="0.2">
      <c r="A5" s="24">
        <v>4</v>
      </c>
      <c r="B5" s="7" t="s">
        <v>152</v>
      </c>
      <c r="C5" s="12" t="s">
        <v>169</v>
      </c>
    </row>
    <row r="6" spans="1:3" ht="16" x14ac:dyDescent="0.2">
      <c r="A6" s="24">
        <v>5</v>
      </c>
      <c r="B6" s="7" t="s">
        <v>153</v>
      </c>
      <c r="C6" s="12" t="s">
        <v>154</v>
      </c>
    </row>
    <row r="7" spans="1:3" ht="48" x14ac:dyDescent="0.2">
      <c r="A7" s="24">
        <v>6</v>
      </c>
      <c r="B7" s="7" t="s">
        <v>155</v>
      </c>
      <c r="C7" s="12" t="s">
        <v>184</v>
      </c>
    </row>
    <row r="8" spans="1:3" ht="16" x14ac:dyDescent="0.2">
      <c r="A8" s="24">
        <v>7</v>
      </c>
      <c r="B8" s="7" t="s">
        <v>156</v>
      </c>
      <c r="C8" s="12" t="s">
        <v>487</v>
      </c>
    </row>
    <row r="9" spans="1:3" ht="48" x14ac:dyDescent="0.2">
      <c r="A9" s="24">
        <v>8</v>
      </c>
      <c r="B9" s="7" t="s">
        <v>157</v>
      </c>
      <c r="C9" s="12" t="s">
        <v>158</v>
      </c>
    </row>
    <row r="10" spans="1:3" ht="48" x14ac:dyDescent="0.2">
      <c r="A10" s="24">
        <v>9</v>
      </c>
      <c r="B10" s="7" t="s">
        <v>159</v>
      </c>
      <c r="C10" s="12" t="s">
        <v>160</v>
      </c>
    </row>
    <row r="11" spans="1:3" ht="48" x14ac:dyDescent="0.2">
      <c r="A11" s="24">
        <v>10</v>
      </c>
      <c r="B11" s="7" t="s">
        <v>161</v>
      </c>
      <c r="C11" s="12" t="s">
        <v>162</v>
      </c>
    </row>
    <row r="12" spans="1:3" ht="48" x14ac:dyDescent="0.2">
      <c r="A12" s="24">
        <v>11</v>
      </c>
      <c r="B12" s="7" t="s">
        <v>163</v>
      </c>
      <c r="C12" s="12" t="s">
        <v>202</v>
      </c>
    </row>
    <row r="13" spans="1:3" ht="16" x14ac:dyDescent="0.2">
      <c r="A13" s="24">
        <v>12</v>
      </c>
      <c r="B13" s="7" t="s">
        <v>164</v>
      </c>
      <c r="C13" s="12" t="s">
        <v>203</v>
      </c>
    </row>
    <row r="14" spans="1:3" ht="32" x14ac:dyDescent="0.2">
      <c r="A14" s="24">
        <v>13</v>
      </c>
      <c r="B14" s="7" t="s">
        <v>165</v>
      </c>
      <c r="C14" s="12" t="s">
        <v>166</v>
      </c>
    </row>
    <row r="15" spans="1:3" ht="32" x14ac:dyDescent="0.2">
      <c r="A15" s="24">
        <v>14</v>
      </c>
      <c r="B15" s="7" t="s">
        <v>167</v>
      </c>
      <c r="C15" s="12" t="s">
        <v>170</v>
      </c>
    </row>
    <row r="16" spans="1:3" ht="32" x14ac:dyDescent="0.2">
      <c r="A16" s="24">
        <v>15</v>
      </c>
      <c r="B16" s="7" t="s">
        <v>145</v>
      </c>
      <c r="C16" s="12" t="s">
        <v>178</v>
      </c>
    </row>
    <row r="17" spans="1:3" ht="32" x14ac:dyDescent="0.2">
      <c r="A17" s="25">
        <v>16</v>
      </c>
      <c r="B17" s="7" t="s">
        <v>185</v>
      </c>
      <c r="C17" s="12" t="s">
        <v>186</v>
      </c>
    </row>
  </sheetData>
  <sheetProtection sheet="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B82C1-2E8D-104F-9A05-3DB9F7C53F9F}">
  <dimension ref="A1:M25"/>
  <sheetViews>
    <sheetView workbookViewId="0">
      <selection activeCell="H18" sqref="H18"/>
    </sheetView>
  </sheetViews>
  <sheetFormatPr baseColWidth="10" defaultRowHeight="19" customHeight="1" x14ac:dyDescent="0.2"/>
  <cols>
    <col min="1" max="1" width="18.1640625" bestFit="1" customWidth="1"/>
    <col min="3" max="3" width="10.83203125" style="43"/>
    <col min="4" max="4" width="12.1640625" bestFit="1" customWidth="1"/>
    <col min="6" max="6" width="10.83203125" style="43"/>
    <col min="7" max="7" width="3.33203125" bestFit="1" customWidth="1"/>
    <col min="8" max="8" width="13.1640625" bestFit="1" customWidth="1"/>
    <col min="9" max="9" width="33" bestFit="1" customWidth="1"/>
    <col min="10" max="10" width="8.1640625" customWidth="1"/>
    <col min="11" max="11" width="3.33203125" bestFit="1" customWidth="1"/>
  </cols>
  <sheetData>
    <row r="1" spans="1:13" ht="19" customHeight="1" x14ac:dyDescent="0.2">
      <c r="A1" s="172" t="s">
        <v>195</v>
      </c>
      <c r="B1" s="172"/>
      <c r="D1" s="172" t="s">
        <v>192</v>
      </c>
      <c r="E1" s="172"/>
      <c r="G1" s="172" t="s">
        <v>490</v>
      </c>
      <c r="H1" s="172"/>
      <c r="I1" s="172"/>
      <c r="K1" s="172"/>
      <c r="L1" s="172"/>
      <c r="M1" s="172"/>
    </row>
    <row r="2" spans="1:13" ht="19" customHeight="1" x14ac:dyDescent="0.2">
      <c r="A2" t="s">
        <v>196</v>
      </c>
      <c r="B2" t="s">
        <v>194</v>
      </c>
      <c r="C2" s="43" t="s">
        <v>461</v>
      </c>
      <c r="D2" t="s">
        <v>193</v>
      </c>
      <c r="E2" t="s">
        <v>194</v>
      </c>
      <c r="F2" s="43" t="s">
        <v>461</v>
      </c>
      <c r="H2" s="38" t="s">
        <v>197</v>
      </c>
    </row>
    <row r="3" spans="1:13" ht="19" customHeight="1" x14ac:dyDescent="0.2">
      <c r="A3" t="s">
        <v>197</v>
      </c>
      <c r="B3" s="42">
        <v>0</v>
      </c>
      <c r="C3" s="43">
        <v>1</v>
      </c>
      <c r="D3" t="s">
        <v>191</v>
      </c>
      <c r="E3">
        <v>0.33</v>
      </c>
      <c r="F3" s="43">
        <v>1</v>
      </c>
      <c r="H3" s="38" t="s">
        <v>198</v>
      </c>
      <c r="I3" s="39" t="s">
        <v>491</v>
      </c>
      <c r="J3" s="38"/>
      <c r="M3" s="39"/>
    </row>
    <row r="4" spans="1:13" ht="19" customHeight="1" x14ac:dyDescent="0.2">
      <c r="A4" t="s">
        <v>199</v>
      </c>
      <c r="B4" s="42">
        <v>0.5</v>
      </c>
      <c r="C4" s="43">
        <v>2</v>
      </c>
      <c r="D4" t="s">
        <v>263</v>
      </c>
      <c r="E4">
        <v>0.66</v>
      </c>
      <c r="F4" s="43">
        <v>2</v>
      </c>
      <c r="G4" s="40"/>
      <c r="H4" s="38"/>
      <c r="I4" s="39"/>
      <c r="J4" s="38"/>
      <c r="M4" s="39"/>
    </row>
    <row r="5" spans="1:13" ht="19" customHeight="1" x14ac:dyDescent="0.2">
      <c r="A5" t="s">
        <v>198</v>
      </c>
      <c r="B5" s="42">
        <v>1</v>
      </c>
      <c r="C5" s="43">
        <v>3</v>
      </c>
      <c r="D5" t="s">
        <v>264</v>
      </c>
      <c r="E5">
        <v>1</v>
      </c>
      <c r="F5" s="43">
        <v>3</v>
      </c>
      <c r="G5" s="40"/>
      <c r="H5" s="38"/>
      <c r="I5" s="39"/>
      <c r="J5" s="38"/>
      <c r="M5" s="39"/>
    </row>
    <row r="6" spans="1:13" ht="19" customHeight="1" x14ac:dyDescent="0.2">
      <c r="A6" t="s">
        <v>262</v>
      </c>
      <c r="B6" s="42">
        <v>0</v>
      </c>
      <c r="G6" s="40"/>
      <c r="H6" s="38"/>
      <c r="I6" s="39"/>
      <c r="J6" s="38"/>
      <c r="M6" s="39"/>
    </row>
    <row r="7" spans="1:13" ht="19" customHeight="1" x14ac:dyDescent="0.2">
      <c r="A7" t="s">
        <v>261</v>
      </c>
      <c r="B7" t="s">
        <v>270</v>
      </c>
      <c r="G7" s="40"/>
      <c r="H7" s="38"/>
      <c r="I7" s="38"/>
      <c r="J7" s="38"/>
      <c r="M7" s="39"/>
    </row>
    <row r="8" spans="1:13" ht="19" customHeight="1" x14ac:dyDescent="0.2">
      <c r="G8" s="40"/>
      <c r="H8" s="38"/>
      <c r="I8" s="38"/>
      <c r="J8" s="38"/>
      <c r="M8" s="39"/>
    </row>
    <row r="9" spans="1:13" ht="19" customHeight="1" x14ac:dyDescent="0.2">
      <c r="G9" s="40"/>
      <c r="H9" s="38"/>
      <c r="I9" s="38"/>
      <c r="J9" s="38"/>
      <c r="M9" s="39"/>
    </row>
    <row r="10" spans="1:13" ht="19" customHeight="1" x14ac:dyDescent="0.2">
      <c r="G10" s="40"/>
      <c r="H10" s="38"/>
      <c r="I10" s="38"/>
      <c r="J10" s="38"/>
      <c r="M10" s="39"/>
    </row>
    <row r="11" spans="1:13" ht="19" customHeight="1" x14ac:dyDescent="0.2">
      <c r="G11" s="40"/>
      <c r="H11" s="38"/>
      <c r="I11" s="38"/>
      <c r="J11" s="38"/>
      <c r="M11" s="39"/>
    </row>
    <row r="12" spans="1:13" ht="19" customHeight="1" x14ac:dyDescent="0.2">
      <c r="G12" s="40"/>
      <c r="H12" s="38"/>
      <c r="I12" s="38"/>
      <c r="J12" s="38"/>
      <c r="M12" s="39"/>
    </row>
    <row r="13" spans="1:13" ht="19" customHeight="1" x14ac:dyDescent="0.2">
      <c r="G13" s="40"/>
      <c r="H13" s="38"/>
      <c r="I13" s="38"/>
      <c r="J13" s="38"/>
      <c r="M13" s="39"/>
    </row>
    <row r="14" spans="1:13" ht="19" customHeight="1" x14ac:dyDescent="0.2">
      <c r="G14" s="40"/>
      <c r="H14" s="38"/>
      <c r="I14" s="38"/>
      <c r="J14" s="38"/>
      <c r="M14" s="39"/>
    </row>
    <row r="15" spans="1:13" ht="19" customHeight="1" x14ac:dyDescent="0.2">
      <c r="G15" s="40"/>
      <c r="H15" s="38"/>
      <c r="I15" s="38"/>
      <c r="J15" s="38"/>
      <c r="M15" s="39"/>
    </row>
    <row r="16" spans="1:13" ht="19" customHeight="1" x14ac:dyDescent="0.2">
      <c r="G16" s="40"/>
      <c r="H16" s="38"/>
      <c r="I16" s="38"/>
      <c r="J16" s="38"/>
      <c r="M16" s="39"/>
    </row>
    <row r="17" spans="13:13" ht="19" customHeight="1" x14ac:dyDescent="0.2">
      <c r="M17" s="39"/>
    </row>
    <row r="18" spans="13:13" ht="19" customHeight="1" x14ac:dyDescent="0.2">
      <c r="M18" s="39"/>
    </row>
    <row r="19" spans="13:13" ht="19" customHeight="1" x14ac:dyDescent="0.2">
      <c r="M19" s="39"/>
    </row>
    <row r="20" spans="13:13" ht="19" customHeight="1" x14ac:dyDescent="0.2">
      <c r="M20" s="39"/>
    </row>
    <row r="21" spans="13:13" ht="19" customHeight="1" x14ac:dyDescent="0.2">
      <c r="M21" s="39"/>
    </row>
    <row r="22" spans="13:13" ht="19" customHeight="1" x14ac:dyDescent="0.2">
      <c r="M22" s="39"/>
    </row>
    <row r="23" spans="13:13" ht="19" customHeight="1" x14ac:dyDescent="0.2">
      <c r="M23" s="39"/>
    </row>
    <row r="24" spans="13:13" ht="19" customHeight="1" x14ac:dyDescent="0.2">
      <c r="M24" s="39"/>
    </row>
    <row r="25" spans="13:13" ht="19" customHeight="1" x14ac:dyDescent="0.2">
      <c r="M25" s="39"/>
    </row>
  </sheetData>
  <sheetProtection sheet="1"/>
  <mergeCells count="4">
    <mergeCell ref="D1:E1"/>
    <mergeCell ref="A1:B1"/>
    <mergeCell ref="G1:I1"/>
    <mergeCell ref="K1:M1"/>
  </mergeCells>
  <phoneticPr fontId="2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Anleitung</vt:lpstr>
      <vt:lpstr>Bewertungsbogen</vt:lpstr>
      <vt:lpstr>Auswertung</vt:lpstr>
      <vt:lpstr>Fragenkatalog</vt:lpstr>
      <vt:lpstr>Szenarien</vt:lpstr>
      <vt:lpstr>Handlungsempfehlungen</vt:lpstr>
      <vt:lpstr>LookupTabellen</vt:lpstr>
    </vt:vector>
  </TitlesOfParts>
  <Company>Hochschul IT Zentrum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gaidar</dc:creator>
  <cp:lastModifiedBy>Microsoft Office User</cp:lastModifiedBy>
  <dcterms:created xsi:type="dcterms:W3CDTF">2022-05-16T08:11:50Z</dcterms:created>
  <dcterms:modified xsi:type="dcterms:W3CDTF">2023-12-04T10:40:20Z</dcterms:modified>
</cp:coreProperties>
</file>